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ot&amp;mjute\Toot\Krukan\"/>
    </mc:Choice>
  </mc:AlternateContent>
  <bookViews>
    <workbookView xWindow="0" yWindow="0" windowWidth="13485" windowHeight="7575" tabRatio="844"/>
  </bookViews>
  <sheets>
    <sheet name="Poäng &amp; instruktioner" sheetId="9" r:id="rId1"/>
    <sheet name="Resultat &amp; tabell" sheetId="6" r:id="rId2"/>
    <sheet name="Mitt tips" sheetId="19" r:id="rId3"/>
  </sheets>
  <definedNames>
    <definedName name="_xlnm._FilterDatabase" localSheetId="2" hidden="1">'Mitt tips'!$M$4:$M$7</definedName>
    <definedName name="_xlnm._FilterDatabase" localSheetId="1" hidden="1">'Resultat &amp; tabell'!$BQ$3:$BR$3</definedName>
    <definedName name="_xlnm.Criteria" localSheetId="2">'Mitt tips'!#REF!</definedName>
    <definedName name="_xlnm.Criteria" localSheetId="1">'Resultat &amp; tabell'!#REF!</definedName>
  </definedNames>
  <calcPr calcId="179017"/>
</workbook>
</file>

<file path=xl/calcChain.xml><?xml version="1.0" encoding="utf-8"?>
<calcChain xmlns="http://schemas.openxmlformats.org/spreadsheetml/2006/main">
  <c r="F99" i="6" l="1"/>
  <c r="D99" i="6"/>
  <c r="AD72" i="19" l="1"/>
  <c r="AD71" i="19"/>
  <c r="AD70" i="19"/>
  <c r="AD69" i="19"/>
  <c r="AD68" i="19"/>
  <c r="AD67" i="19"/>
  <c r="AD63" i="19"/>
  <c r="AD62" i="19"/>
  <c r="AD61" i="19"/>
  <c r="AD60" i="19"/>
  <c r="AD59" i="19"/>
  <c r="AD58" i="19"/>
  <c r="AD54" i="19"/>
  <c r="AD53" i="19"/>
  <c r="AD52" i="19"/>
  <c r="AD51" i="19"/>
  <c r="AD50" i="19"/>
  <c r="AD49" i="19"/>
  <c r="AD45" i="19"/>
  <c r="AD44" i="19"/>
  <c r="AD43" i="19"/>
  <c r="AD42" i="19"/>
  <c r="AD41" i="19"/>
  <c r="AD40" i="19"/>
  <c r="AD36" i="19"/>
  <c r="AD35" i="19"/>
  <c r="AD34" i="19"/>
  <c r="AD33" i="19"/>
  <c r="AD32" i="19"/>
  <c r="AD31" i="19"/>
  <c r="AD27" i="19"/>
  <c r="AD26" i="19"/>
  <c r="AD25" i="19"/>
  <c r="AD24" i="19"/>
  <c r="AD23" i="19"/>
  <c r="AD22" i="19"/>
  <c r="AD18" i="19"/>
  <c r="AD17" i="19"/>
  <c r="AD16" i="19"/>
  <c r="AD15" i="19"/>
  <c r="AD14" i="19"/>
  <c r="AD13" i="19"/>
  <c r="Z72" i="19"/>
  <c r="Z71" i="19"/>
  <c r="Z70" i="19"/>
  <c r="Z69" i="19"/>
  <c r="Z68" i="19"/>
  <c r="Z67" i="19"/>
  <c r="Z63" i="19"/>
  <c r="Z62" i="19"/>
  <c r="Z61" i="19"/>
  <c r="Z60" i="19"/>
  <c r="Z59" i="19"/>
  <c r="Z58" i="19"/>
  <c r="Z54" i="19"/>
  <c r="Z53" i="19"/>
  <c r="Z52" i="19"/>
  <c r="Z51" i="19"/>
  <c r="Z50" i="19"/>
  <c r="Z49" i="19"/>
  <c r="Z45" i="19"/>
  <c r="Z44" i="19"/>
  <c r="Z43" i="19"/>
  <c r="Z42" i="19"/>
  <c r="Z41" i="19"/>
  <c r="Z40" i="19"/>
  <c r="Z36" i="19"/>
  <c r="Z35" i="19"/>
  <c r="Z34" i="19"/>
  <c r="Z33" i="19"/>
  <c r="Z32" i="19"/>
  <c r="Z31" i="19"/>
  <c r="Z27" i="19"/>
  <c r="Z26" i="19"/>
  <c r="Z25" i="19"/>
  <c r="Z24" i="19"/>
  <c r="Z23" i="19"/>
  <c r="Z22" i="19"/>
  <c r="Z18" i="19"/>
  <c r="Z17" i="19"/>
  <c r="Z16" i="19"/>
  <c r="Z15" i="19"/>
  <c r="Z14" i="19"/>
  <c r="Z13" i="19"/>
  <c r="AD5" i="19"/>
  <c r="AD6" i="19"/>
  <c r="AD7" i="19"/>
  <c r="AD8" i="19"/>
  <c r="AD9" i="19"/>
  <c r="AD4" i="19"/>
  <c r="Z5" i="19"/>
  <c r="Z6" i="19"/>
  <c r="Z7" i="19"/>
  <c r="Z8" i="19"/>
  <c r="Z9" i="19"/>
  <c r="Z4" i="19"/>
  <c r="AB72" i="6"/>
  <c r="AB71" i="6"/>
  <c r="AB70" i="6"/>
  <c r="AB69" i="6"/>
  <c r="AB68" i="6"/>
  <c r="AB67" i="6"/>
  <c r="AB63" i="6"/>
  <c r="AB62" i="6"/>
  <c r="AB61" i="6"/>
  <c r="AB60" i="6"/>
  <c r="AB59" i="6"/>
  <c r="AB58" i="6"/>
  <c r="AB54" i="6"/>
  <c r="AB53" i="6"/>
  <c r="AB52" i="6"/>
  <c r="AB51" i="6"/>
  <c r="AB50" i="6"/>
  <c r="AB49" i="6"/>
  <c r="AB45" i="6"/>
  <c r="AB44" i="6"/>
  <c r="AB43" i="6"/>
  <c r="AB42" i="6"/>
  <c r="AB41" i="6"/>
  <c r="AB40" i="6"/>
  <c r="AB36" i="6"/>
  <c r="AB35" i="6"/>
  <c r="AB34" i="6"/>
  <c r="AB33" i="6"/>
  <c r="AB32" i="6"/>
  <c r="AB31" i="6"/>
  <c r="AB27" i="6"/>
  <c r="AB26" i="6"/>
  <c r="AB25" i="6"/>
  <c r="AB24" i="6"/>
  <c r="AB23" i="6"/>
  <c r="AB22" i="6"/>
  <c r="AB18" i="6"/>
  <c r="AB17" i="6"/>
  <c r="AB16" i="6"/>
  <c r="AB15" i="6"/>
  <c r="AB14" i="6"/>
  <c r="AB13" i="6"/>
  <c r="X72" i="6"/>
  <c r="X71" i="6"/>
  <c r="X70" i="6"/>
  <c r="X69" i="6"/>
  <c r="X68" i="6"/>
  <c r="X67" i="6"/>
  <c r="X63" i="6"/>
  <c r="X62" i="6"/>
  <c r="X61" i="6"/>
  <c r="X60" i="6"/>
  <c r="X59" i="6"/>
  <c r="X58" i="6"/>
  <c r="X54" i="6"/>
  <c r="X53" i="6"/>
  <c r="X52" i="6"/>
  <c r="X51" i="6"/>
  <c r="X50" i="6"/>
  <c r="X49" i="6"/>
  <c r="X45" i="6"/>
  <c r="X44" i="6"/>
  <c r="X43" i="6"/>
  <c r="X42" i="6"/>
  <c r="X41" i="6"/>
  <c r="X40" i="6"/>
  <c r="X36" i="6"/>
  <c r="X35" i="6"/>
  <c r="X34" i="6"/>
  <c r="X33" i="6"/>
  <c r="X32" i="6"/>
  <c r="X31" i="6"/>
  <c r="X27" i="6"/>
  <c r="X26" i="6"/>
  <c r="X25" i="6"/>
  <c r="X24" i="6"/>
  <c r="X23" i="6"/>
  <c r="X22" i="6"/>
  <c r="X18" i="6"/>
  <c r="X17" i="6"/>
  <c r="X16" i="6"/>
  <c r="X15" i="6"/>
  <c r="X14" i="6"/>
  <c r="X13" i="6"/>
  <c r="AB5" i="6"/>
  <c r="AB6" i="6"/>
  <c r="AB7" i="6"/>
  <c r="AB8" i="6"/>
  <c r="AB9" i="6"/>
  <c r="X5" i="6"/>
  <c r="X6" i="6"/>
  <c r="X7" i="6"/>
  <c r="X8" i="6"/>
  <c r="X9" i="6"/>
  <c r="AB4" i="6"/>
  <c r="X4" i="6"/>
  <c r="K1" i="6" l="1"/>
  <c r="X5" i="19" l="1"/>
  <c r="BE4" i="19"/>
  <c r="BE5" i="19"/>
  <c r="J103" i="6"/>
  <c r="K103" i="19" s="1"/>
  <c r="F103" i="6"/>
  <c r="D103" i="6"/>
  <c r="J99" i="6"/>
  <c r="K99" i="19" s="1"/>
  <c r="J95" i="6"/>
  <c r="K95" i="19" s="1"/>
  <c r="F95" i="6"/>
  <c r="D95" i="6"/>
  <c r="J94" i="6"/>
  <c r="K94" i="19" s="1"/>
  <c r="F94" i="6"/>
  <c r="D94" i="6"/>
  <c r="J90" i="6"/>
  <c r="K90" i="19" s="1"/>
  <c r="F90" i="6"/>
  <c r="D90" i="6"/>
  <c r="J89" i="6"/>
  <c r="K89" i="19" s="1"/>
  <c r="F89" i="6"/>
  <c r="D89" i="6"/>
  <c r="J88" i="6"/>
  <c r="K88" i="19" s="1"/>
  <c r="F88" i="6"/>
  <c r="D88" i="6"/>
  <c r="J87" i="6"/>
  <c r="K87" i="19" s="1"/>
  <c r="F87" i="6"/>
  <c r="D87" i="6"/>
  <c r="J83" i="6"/>
  <c r="J82" i="6"/>
  <c r="J81" i="6"/>
  <c r="J80" i="6"/>
  <c r="J79" i="6"/>
  <c r="J78" i="6"/>
  <c r="J77" i="6"/>
  <c r="J76" i="6"/>
  <c r="J72" i="6"/>
  <c r="J71" i="6"/>
  <c r="J70" i="6"/>
  <c r="J69" i="6"/>
  <c r="J68" i="6"/>
  <c r="J67" i="6"/>
  <c r="J63" i="6"/>
  <c r="J62" i="6"/>
  <c r="J61" i="6"/>
  <c r="J60" i="6"/>
  <c r="J59" i="6"/>
  <c r="J58" i="6"/>
  <c r="J54" i="6"/>
  <c r="J53" i="6"/>
  <c r="J52" i="6"/>
  <c r="J51" i="6"/>
  <c r="J50" i="6"/>
  <c r="J49" i="6"/>
  <c r="J45" i="6"/>
  <c r="J44" i="6"/>
  <c r="J43" i="6"/>
  <c r="J42" i="6"/>
  <c r="J41" i="6"/>
  <c r="J40" i="6"/>
  <c r="J36" i="6"/>
  <c r="J35" i="6"/>
  <c r="J34" i="6"/>
  <c r="J33" i="6"/>
  <c r="J32" i="6"/>
  <c r="J31" i="6"/>
  <c r="J27" i="6"/>
  <c r="J26" i="6"/>
  <c r="J25" i="6"/>
  <c r="J24" i="6"/>
  <c r="J23" i="6"/>
  <c r="J22" i="6"/>
  <c r="J18" i="6"/>
  <c r="J17" i="6"/>
  <c r="J16" i="6"/>
  <c r="J15" i="6"/>
  <c r="J14" i="6"/>
  <c r="J13" i="6"/>
  <c r="J9" i="6"/>
  <c r="J8" i="6"/>
  <c r="J7" i="6"/>
  <c r="J6" i="6"/>
  <c r="J5" i="6"/>
  <c r="J4" i="6"/>
  <c r="F95" i="19"/>
  <c r="D95" i="19"/>
  <c r="F94" i="19"/>
  <c r="D94" i="19"/>
  <c r="D90" i="19"/>
  <c r="F89" i="19"/>
  <c r="D89" i="19"/>
  <c r="F88" i="19"/>
  <c r="D88" i="19"/>
  <c r="F87" i="19"/>
  <c r="D87" i="19"/>
  <c r="X6" i="19"/>
  <c r="X4" i="19"/>
  <c r="J103" i="19"/>
  <c r="J99" i="19"/>
  <c r="BH99" i="19" s="1"/>
  <c r="J95" i="19"/>
  <c r="J94" i="19"/>
  <c r="BH94" i="19" s="1"/>
  <c r="J90" i="19"/>
  <c r="BH90" i="19" s="1"/>
  <c r="J89" i="19"/>
  <c r="BH89" i="19" s="1"/>
  <c r="J88" i="19"/>
  <c r="J87" i="19"/>
  <c r="BH87" i="19" s="1"/>
  <c r="J83" i="19"/>
  <c r="J82" i="19"/>
  <c r="BH82" i="19" s="1"/>
  <c r="J81" i="19"/>
  <c r="J80" i="19"/>
  <c r="BH80" i="19" s="1"/>
  <c r="J79" i="19"/>
  <c r="J78" i="19"/>
  <c r="BH78" i="19" s="1"/>
  <c r="J77" i="19"/>
  <c r="J76" i="19"/>
  <c r="J72" i="19"/>
  <c r="BH72" i="19" s="1"/>
  <c r="J71" i="19"/>
  <c r="BH71" i="19" s="1"/>
  <c r="J70" i="19"/>
  <c r="J69" i="19"/>
  <c r="BH69" i="19" s="1"/>
  <c r="J68" i="19"/>
  <c r="BH68" i="19" s="1"/>
  <c r="J67" i="19"/>
  <c r="BH67" i="19" s="1"/>
  <c r="J63" i="19"/>
  <c r="J62" i="19"/>
  <c r="BH62" i="19" s="1"/>
  <c r="J61" i="19"/>
  <c r="BH61" i="19" s="1"/>
  <c r="J60" i="19"/>
  <c r="BH60" i="19" s="1"/>
  <c r="J59" i="19"/>
  <c r="J58" i="19"/>
  <c r="BH58" i="19" s="1"/>
  <c r="J54" i="19"/>
  <c r="BH54" i="19" s="1"/>
  <c r="J53" i="19"/>
  <c r="BH53" i="19" s="1"/>
  <c r="J52" i="19"/>
  <c r="J51" i="19"/>
  <c r="BH51" i="19" s="1"/>
  <c r="J50" i="19"/>
  <c r="BH50" i="19" s="1"/>
  <c r="J49" i="19"/>
  <c r="BH49" i="19" s="1"/>
  <c r="J45" i="19"/>
  <c r="J44" i="19"/>
  <c r="BH44" i="19" s="1"/>
  <c r="J43" i="19"/>
  <c r="BH43" i="19" s="1"/>
  <c r="J42" i="19"/>
  <c r="BH42" i="19" s="1"/>
  <c r="J41" i="19"/>
  <c r="J40" i="19"/>
  <c r="BH40" i="19" s="1"/>
  <c r="J36" i="19"/>
  <c r="BH36" i="19" s="1"/>
  <c r="J35" i="19"/>
  <c r="BH35" i="19" s="1"/>
  <c r="J34" i="19"/>
  <c r="J33" i="19"/>
  <c r="BH33" i="19" s="1"/>
  <c r="J32" i="19"/>
  <c r="BH32" i="19" s="1"/>
  <c r="J31" i="19"/>
  <c r="BH31" i="19" s="1"/>
  <c r="J27" i="19"/>
  <c r="J26" i="19"/>
  <c r="BH26" i="19" s="1"/>
  <c r="J25" i="19"/>
  <c r="BH25" i="19" s="1"/>
  <c r="J24" i="19"/>
  <c r="BH24" i="19" s="1"/>
  <c r="J23" i="19"/>
  <c r="J22" i="19"/>
  <c r="BH22" i="19" s="1"/>
  <c r="J18" i="19"/>
  <c r="BH18" i="19" s="1"/>
  <c r="J17" i="19"/>
  <c r="BH17" i="19" s="1"/>
  <c r="J16" i="19"/>
  <c r="J15" i="19"/>
  <c r="BH15" i="19" s="1"/>
  <c r="J14" i="19"/>
  <c r="BH14" i="19" s="1"/>
  <c r="J13" i="19"/>
  <c r="BH13" i="19" s="1"/>
  <c r="J4" i="19"/>
  <c r="BH4" i="19" s="1"/>
  <c r="J5" i="19"/>
  <c r="J6" i="19"/>
  <c r="BH6" i="19" s="1"/>
  <c r="J7" i="19"/>
  <c r="BH7" i="19" s="1"/>
  <c r="J8" i="19"/>
  <c r="BH8" i="19" s="1"/>
  <c r="J9" i="19"/>
  <c r="BH79" i="19" l="1"/>
  <c r="BH83" i="19"/>
  <c r="BH103" i="19"/>
  <c r="N95" i="19"/>
  <c r="BH5" i="19"/>
  <c r="BH76" i="19"/>
  <c r="BH9" i="19"/>
  <c r="BH16" i="19"/>
  <c r="BH23" i="19"/>
  <c r="BH27" i="19"/>
  <c r="BH34" i="19"/>
  <c r="BH41" i="19"/>
  <c r="BH45" i="19"/>
  <c r="BH52" i="19"/>
  <c r="BH59" i="19"/>
  <c r="BH63" i="19"/>
  <c r="BH70" i="19"/>
  <c r="BH77" i="19"/>
  <c r="BH81" i="19"/>
  <c r="BH88" i="19"/>
  <c r="BH95" i="19"/>
  <c r="N94" i="19"/>
  <c r="N88" i="19"/>
  <c r="N89" i="19"/>
  <c r="N87" i="19"/>
  <c r="BG103" i="19"/>
  <c r="BE103" i="19"/>
  <c r="F103" i="19"/>
  <c r="BD103" i="19" s="1"/>
  <c r="D103" i="19"/>
  <c r="N103" i="19" s="1"/>
  <c r="BG99" i="19"/>
  <c r="BE99" i="19"/>
  <c r="BG95" i="19"/>
  <c r="BE95" i="19"/>
  <c r="BD95" i="19"/>
  <c r="BG94" i="19"/>
  <c r="BE94" i="19"/>
  <c r="BL108" i="19"/>
  <c r="BG90" i="19"/>
  <c r="BE90" i="19"/>
  <c r="F90" i="19"/>
  <c r="N90" i="19" s="1"/>
  <c r="BG89" i="19"/>
  <c r="BE89" i="19"/>
  <c r="BL101" i="19"/>
  <c r="BG88" i="19"/>
  <c r="BE88" i="19"/>
  <c r="BG87" i="19"/>
  <c r="BE87" i="19"/>
  <c r="BL99" i="19"/>
  <c r="BG83" i="19"/>
  <c r="BE83" i="19"/>
  <c r="BG82" i="19"/>
  <c r="BE82" i="19"/>
  <c r="BG81" i="19"/>
  <c r="BE81" i="19"/>
  <c r="BG80" i="19"/>
  <c r="BE80" i="19"/>
  <c r="BG79" i="19"/>
  <c r="BE79" i="19"/>
  <c r="BG78" i="19"/>
  <c r="BE78" i="19"/>
  <c r="BG77" i="19"/>
  <c r="BE77" i="19"/>
  <c r="BG76" i="19"/>
  <c r="BE76" i="19"/>
  <c r="BG72" i="19"/>
  <c r="BE72" i="19"/>
  <c r="AG72" i="19"/>
  <c r="AF72" i="19"/>
  <c r="AE72" i="19"/>
  <c r="AC72" i="19"/>
  <c r="AB72" i="19"/>
  <c r="AA72" i="19"/>
  <c r="BG71" i="19"/>
  <c r="BE71" i="19"/>
  <c r="AG71" i="19"/>
  <c r="AF71" i="19"/>
  <c r="AE71" i="19"/>
  <c r="AC71" i="19"/>
  <c r="AB71" i="19"/>
  <c r="AA71" i="19"/>
  <c r="BG70" i="19"/>
  <c r="BE70" i="19"/>
  <c r="AG70" i="19"/>
  <c r="AF70" i="19"/>
  <c r="AE70" i="19"/>
  <c r="AC70" i="19"/>
  <c r="AB70" i="19"/>
  <c r="AA70" i="19"/>
  <c r="BG69" i="19"/>
  <c r="BE69" i="19"/>
  <c r="AG69" i="19"/>
  <c r="AF69" i="19"/>
  <c r="AE69" i="19"/>
  <c r="AC69" i="19"/>
  <c r="AB69" i="19"/>
  <c r="AA69" i="19"/>
  <c r="BG68" i="19"/>
  <c r="BE68" i="19"/>
  <c r="AG68" i="19"/>
  <c r="AF68" i="19"/>
  <c r="AE68" i="19"/>
  <c r="AC68" i="19"/>
  <c r="AB68" i="19"/>
  <c r="AA68" i="19"/>
  <c r="BG67" i="19"/>
  <c r="BE67" i="19"/>
  <c r="AG67" i="19"/>
  <c r="AF67" i="19"/>
  <c r="AE67" i="19"/>
  <c r="AC67" i="19"/>
  <c r="AB67" i="19"/>
  <c r="AA67" i="19"/>
  <c r="BG63" i="19"/>
  <c r="BE63" i="19"/>
  <c r="AG63" i="19"/>
  <c r="AF63" i="19"/>
  <c r="AE63" i="19"/>
  <c r="AC63" i="19"/>
  <c r="AB63" i="19"/>
  <c r="AA63" i="19"/>
  <c r="BG62" i="19"/>
  <c r="BE62" i="19"/>
  <c r="AG62" i="19"/>
  <c r="AF62" i="19"/>
  <c r="AE62" i="19"/>
  <c r="AC62" i="19"/>
  <c r="AB62" i="19"/>
  <c r="AA62" i="19"/>
  <c r="BG61" i="19"/>
  <c r="BE61" i="19"/>
  <c r="AG61" i="19"/>
  <c r="AF61" i="19"/>
  <c r="AE61" i="19"/>
  <c r="AC61" i="19"/>
  <c r="AB61" i="19"/>
  <c r="AA61" i="19"/>
  <c r="BG60" i="19"/>
  <c r="BE60" i="19"/>
  <c r="AG60" i="19"/>
  <c r="AF60" i="19"/>
  <c r="AE60" i="19"/>
  <c r="AC60" i="19"/>
  <c r="AB60" i="19"/>
  <c r="AA60" i="19"/>
  <c r="BG59" i="19"/>
  <c r="BE59" i="19"/>
  <c r="AG59" i="19"/>
  <c r="AF59" i="19"/>
  <c r="AE59" i="19"/>
  <c r="AC59" i="19"/>
  <c r="AB59" i="19"/>
  <c r="AA59" i="19"/>
  <c r="BG58" i="19"/>
  <c r="BE58" i="19"/>
  <c r="AG58" i="19"/>
  <c r="AF58" i="19"/>
  <c r="AE58" i="19"/>
  <c r="AC58" i="19"/>
  <c r="AQ58" i="19" s="1"/>
  <c r="AB58" i="19"/>
  <c r="AA58" i="19"/>
  <c r="BG54" i="19"/>
  <c r="BE54" i="19"/>
  <c r="AG54" i="19"/>
  <c r="AF54" i="19"/>
  <c r="AE54" i="19"/>
  <c r="AC54" i="19"/>
  <c r="AB54" i="19"/>
  <c r="AA54" i="19"/>
  <c r="BG53" i="19"/>
  <c r="BE53" i="19"/>
  <c r="AG53" i="19"/>
  <c r="AF53" i="19"/>
  <c r="AE53" i="19"/>
  <c r="AC53" i="19"/>
  <c r="AB53" i="19"/>
  <c r="AA53" i="19"/>
  <c r="BG52" i="19"/>
  <c r="BE52" i="19"/>
  <c r="AG52" i="19"/>
  <c r="AF52" i="19"/>
  <c r="AE52" i="19"/>
  <c r="AC52" i="19"/>
  <c r="AB52" i="19"/>
  <c r="AA52" i="19"/>
  <c r="BG51" i="19"/>
  <c r="BE51" i="19"/>
  <c r="AG51" i="19"/>
  <c r="AF51" i="19"/>
  <c r="AE51" i="19"/>
  <c r="AC51" i="19"/>
  <c r="AB51" i="19"/>
  <c r="AA51" i="19"/>
  <c r="BG50" i="19"/>
  <c r="BE50" i="19"/>
  <c r="AG50" i="19"/>
  <c r="AF50" i="19"/>
  <c r="AE50" i="19"/>
  <c r="AC50" i="19"/>
  <c r="AB50" i="19"/>
  <c r="AA50" i="19"/>
  <c r="BG49" i="19"/>
  <c r="BE49" i="19"/>
  <c r="AG49" i="19"/>
  <c r="AF49" i="19"/>
  <c r="AE49" i="19"/>
  <c r="AC49" i="19"/>
  <c r="AB49" i="19"/>
  <c r="AA49" i="19"/>
  <c r="BG45" i="19"/>
  <c r="BE45" i="19"/>
  <c r="AG45" i="19"/>
  <c r="AF45" i="19"/>
  <c r="AE45" i="19"/>
  <c r="AC45" i="19"/>
  <c r="AB45" i="19"/>
  <c r="AA45" i="19"/>
  <c r="BG44" i="19"/>
  <c r="BE44" i="19"/>
  <c r="AG44" i="19"/>
  <c r="AF44" i="19"/>
  <c r="AE44" i="19"/>
  <c r="AC44" i="19"/>
  <c r="AB44" i="19"/>
  <c r="AA44" i="19"/>
  <c r="BG43" i="19"/>
  <c r="BE43" i="19"/>
  <c r="AG43" i="19"/>
  <c r="AF43" i="19"/>
  <c r="AE43" i="19"/>
  <c r="AC43" i="19"/>
  <c r="AB43" i="19"/>
  <c r="AA43" i="19"/>
  <c r="BG42" i="19"/>
  <c r="BE42" i="19"/>
  <c r="AG42" i="19"/>
  <c r="AF42" i="19"/>
  <c r="AE42" i="19"/>
  <c r="AC42" i="19"/>
  <c r="AB42" i="19"/>
  <c r="AA42" i="19"/>
  <c r="BG41" i="19"/>
  <c r="BE41" i="19"/>
  <c r="AG41" i="19"/>
  <c r="AF41" i="19"/>
  <c r="AE41" i="19"/>
  <c r="AC41" i="19"/>
  <c r="AB41" i="19"/>
  <c r="AA41" i="19"/>
  <c r="BG40" i="19"/>
  <c r="BE40" i="19"/>
  <c r="AG40" i="19"/>
  <c r="AF40" i="19"/>
  <c r="AE40" i="19"/>
  <c r="AC40" i="19"/>
  <c r="AB40" i="19"/>
  <c r="AA40" i="19"/>
  <c r="BG36" i="19"/>
  <c r="BE36" i="19"/>
  <c r="AG36" i="19"/>
  <c r="AF36" i="19"/>
  <c r="AE36" i="19"/>
  <c r="AC36" i="19"/>
  <c r="AB36" i="19"/>
  <c r="AA36" i="19"/>
  <c r="BG35" i="19"/>
  <c r="BE35" i="19"/>
  <c r="AG35" i="19"/>
  <c r="AF35" i="19"/>
  <c r="AE35" i="19"/>
  <c r="AC35" i="19"/>
  <c r="AB35" i="19"/>
  <c r="AA35" i="19"/>
  <c r="BG34" i="19"/>
  <c r="BE34" i="19"/>
  <c r="AG34" i="19"/>
  <c r="AF34" i="19"/>
  <c r="AE34" i="19"/>
  <c r="AC34" i="19"/>
  <c r="AB34" i="19"/>
  <c r="AA34" i="19"/>
  <c r="BG33" i="19"/>
  <c r="BE33" i="19"/>
  <c r="AG33" i="19"/>
  <c r="AF33" i="19"/>
  <c r="AE33" i="19"/>
  <c r="AC33" i="19"/>
  <c r="AB33" i="19"/>
  <c r="AA33" i="19"/>
  <c r="BG32" i="19"/>
  <c r="BE32" i="19"/>
  <c r="AG32" i="19"/>
  <c r="AF32" i="19"/>
  <c r="AE32" i="19"/>
  <c r="AC32" i="19"/>
  <c r="AB32" i="19"/>
  <c r="AA32" i="19"/>
  <c r="BG31" i="19"/>
  <c r="BE31" i="19"/>
  <c r="AG31" i="19"/>
  <c r="AF31" i="19"/>
  <c r="AE31" i="19"/>
  <c r="AC31" i="19"/>
  <c r="AB31" i="19"/>
  <c r="AA31" i="19"/>
  <c r="BG27" i="19"/>
  <c r="BE27" i="19"/>
  <c r="AG27" i="19"/>
  <c r="AF27" i="19"/>
  <c r="AE27" i="19"/>
  <c r="AC27" i="19"/>
  <c r="AB27" i="19"/>
  <c r="AA27" i="19"/>
  <c r="BG26" i="19"/>
  <c r="BE26" i="19"/>
  <c r="AG26" i="19"/>
  <c r="AF26" i="19"/>
  <c r="AE26" i="19"/>
  <c r="AC26" i="19"/>
  <c r="AB26" i="19"/>
  <c r="AA26" i="19"/>
  <c r="BG25" i="19"/>
  <c r="BE25" i="19"/>
  <c r="AG25" i="19"/>
  <c r="AF25" i="19"/>
  <c r="AE25" i="19"/>
  <c r="AC25" i="19"/>
  <c r="AB25" i="19"/>
  <c r="AA25" i="19"/>
  <c r="BG24" i="19"/>
  <c r="BE24" i="19"/>
  <c r="AG24" i="19"/>
  <c r="AF24" i="19"/>
  <c r="AE24" i="19"/>
  <c r="AC24" i="19"/>
  <c r="AB24" i="19"/>
  <c r="AP22" i="19" s="1"/>
  <c r="AA24" i="19"/>
  <c r="BG23" i="19"/>
  <c r="BE23" i="19"/>
  <c r="AG23" i="19"/>
  <c r="AF23" i="19"/>
  <c r="AE23" i="19"/>
  <c r="AC23" i="19"/>
  <c r="AB23" i="19"/>
  <c r="AA23" i="19"/>
  <c r="BG22" i="19"/>
  <c r="BE22" i="19"/>
  <c r="AG22" i="19"/>
  <c r="AF22" i="19"/>
  <c r="AE22" i="19"/>
  <c r="AC22" i="19"/>
  <c r="AB22" i="19"/>
  <c r="AA22" i="19"/>
  <c r="BG18" i="19"/>
  <c r="BE18" i="19"/>
  <c r="AG18" i="19"/>
  <c r="AF18" i="19"/>
  <c r="AE18" i="19"/>
  <c r="AC18" i="19"/>
  <c r="AB18" i="19"/>
  <c r="AA18" i="19"/>
  <c r="BG17" i="19"/>
  <c r="BE17" i="19"/>
  <c r="AG17" i="19"/>
  <c r="AF17" i="19"/>
  <c r="AE17" i="19"/>
  <c r="AC17" i="19"/>
  <c r="AB17" i="19"/>
  <c r="AA17" i="19"/>
  <c r="BG16" i="19"/>
  <c r="BE16" i="19"/>
  <c r="AG16" i="19"/>
  <c r="AF16" i="19"/>
  <c r="AE16" i="19"/>
  <c r="AC16" i="19"/>
  <c r="AB16" i="19"/>
  <c r="AA16" i="19"/>
  <c r="BG15" i="19"/>
  <c r="BE15" i="19"/>
  <c r="AG15" i="19"/>
  <c r="AF15" i="19"/>
  <c r="AE15" i="19"/>
  <c r="AC15" i="19"/>
  <c r="AB15" i="19"/>
  <c r="AA15" i="19"/>
  <c r="BG14" i="19"/>
  <c r="BE14" i="19"/>
  <c r="AG14" i="19"/>
  <c r="AF14" i="19"/>
  <c r="AE14" i="19"/>
  <c r="AC14" i="19"/>
  <c r="AB14" i="19"/>
  <c r="AA14" i="19"/>
  <c r="BG13" i="19"/>
  <c r="BE13" i="19"/>
  <c r="AG13" i="19"/>
  <c r="AF13" i="19"/>
  <c r="AE13" i="19"/>
  <c r="AC13" i="19"/>
  <c r="AB13" i="19"/>
  <c r="AA13" i="19"/>
  <c r="BG9" i="19"/>
  <c r="BE9" i="19"/>
  <c r="AG9" i="19"/>
  <c r="AF9" i="19"/>
  <c r="AE9" i="19"/>
  <c r="AC9" i="19"/>
  <c r="AB9" i="19"/>
  <c r="AA9" i="19"/>
  <c r="BG8" i="19"/>
  <c r="BE8" i="19"/>
  <c r="AG8" i="19"/>
  <c r="AF8" i="19"/>
  <c r="AE8" i="19"/>
  <c r="AC8" i="19"/>
  <c r="AB8" i="19"/>
  <c r="AA8" i="19"/>
  <c r="BG7" i="19"/>
  <c r="BE7" i="19"/>
  <c r="AG7" i="19"/>
  <c r="AF7" i="19"/>
  <c r="AE7" i="19"/>
  <c r="AC7" i="19"/>
  <c r="AB7" i="19"/>
  <c r="AA7" i="19"/>
  <c r="BG6" i="19"/>
  <c r="BE6" i="19"/>
  <c r="AG6" i="19"/>
  <c r="AF6" i="19"/>
  <c r="AE6" i="19"/>
  <c r="AC6" i="19"/>
  <c r="AB6" i="19"/>
  <c r="AA6" i="19"/>
  <c r="BG5" i="19"/>
  <c r="AG5" i="19"/>
  <c r="AF5" i="19"/>
  <c r="AE5" i="19"/>
  <c r="AC5" i="19"/>
  <c r="AB5" i="19"/>
  <c r="AA5" i="19"/>
  <c r="BG4" i="19"/>
  <c r="AG4" i="19"/>
  <c r="AF4" i="19"/>
  <c r="AE4" i="19"/>
  <c r="AC4" i="19"/>
  <c r="AB4" i="19"/>
  <c r="AA4" i="19"/>
  <c r="AP32" i="19" l="1"/>
  <c r="AP42" i="19"/>
  <c r="AP69" i="19"/>
  <c r="U19" i="19"/>
  <c r="V19" i="19" s="1"/>
  <c r="BB88" i="19"/>
  <c r="BL98" i="19"/>
  <c r="BB103" i="19"/>
  <c r="T94" i="19"/>
  <c r="D99" i="19" s="1"/>
  <c r="BL107" i="19"/>
  <c r="AQ6" i="19"/>
  <c r="AO23" i="19"/>
  <c r="AP4" i="19"/>
  <c r="AP5" i="19"/>
  <c r="AQ7" i="19"/>
  <c r="AO4" i="19"/>
  <c r="AP6" i="19"/>
  <c r="BI99" i="19"/>
  <c r="T17" i="19" s="1"/>
  <c r="AO40" i="19"/>
  <c r="AO43" i="19"/>
  <c r="AQ42" i="19"/>
  <c r="AR42" i="19" s="1"/>
  <c r="AQ16" i="19"/>
  <c r="BI82" i="19"/>
  <c r="K82" i="19" s="1"/>
  <c r="BI44" i="19"/>
  <c r="K44" i="19" s="1"/>
  <c r="BI24" i="19"/>
  <c r="K24" i="19" s="1"/>
  <c r="BI34" i="19"/>
  <c r="K34" i="19" s="1"/>
  <c r="AO33" i="19"/>
  <c r="AO42" i="19"/>
  <c r="AQ60" i="19"/>
  <c r="BI63" i="19"/>
  <c r="K63" i="19" s="1"/>
  <c r="BD89" i="19"/>
  <c r="T95" i="19"/>
  <c r="F99" i="19" s="1"/>
  <c r="BL114" i="19" s="1"/>
  <c r="AQ15" i="19"/>
  <c r="AO24" i="19"/>
  <c r="AP23" i="19"/>
  <c r="AO31" i="19"/>
  <c r="AP40" i="19"/>
  <c r="AP49" i="19"/>
  <c r="BI54" i="19"/>
  <c r="K54" i="19" s="1"/>
  <c r="AO60" i="19"/>
  <c r="AP67" i="19"/>
  <c r="BI89" i="19"/>
  <c r="AQ13" i="19"/>
  <c r="AP14" i="19"/>
  <c r="AO22" i="19"/>
  <c r="AP24" i="19"/>
  <c r="AO25" i="19"/>
  <c r="BI27" i="19"/>
  <c r="K27" i="19" s="1"/>
  <c r="AO32" i="19"/>
  <c r="AP34" i="19"/>
  <c r="BB94" i="19"/>
  <c r="BL118" i="19"/>
  <c r="BI94" i="19"/>
  <c r="BI87" i="19"/>
  <c r="BI81" i="19"/>
  <c r="K81" i="19" s="1"/>
  <c r="BI78" i="19"/>
  <c r="K78" i="19" s="1"/>
  <c r="BI26" i="19"/>
  <c r="K26" i="19" s="1"/>
  <c r="BI18" i="19"/>
  <c r="K18" i="19" s="1"/>
  <c r="BI17" i="19"/>
  <c r="K17" i="19" s="1"/>
  <c r="BI43" i="19"/>
  <c r="K43" i="19" s="1"/>
  <c r="BI69" i="19"/>
  <c r="K69" i="19" s="1"/>
  <c r="BI68" i="19"/>
  <c r="K68" i="19" s="1"/>
  <c r="BI6" i="19"/>
  <c r="K6" i="19" s="1"/>
  <c r="BI40" i="19"/>
  <c r="K40" i="19" s="1"/>
  <c r="BI41" i="19"/>
  <c r="K41" i="19" s="1"/>
  <c r="BI23" i="19"/>
  <c r="K23" i="19" s="1"/>
  <c r="AQ24" i="19"/>
  <c r="AQ23" i="19"/>
  <c r="AR23" i="19" s="1"/>
  <c r="AQ22" i="19"/>
  <c r="AR22" i="19" s="1"/>
  <c r="BI22" i="19"/>
  <c r="K22" i="19" s="1"/>
  <c r="BI25" i="19"/>
  <c r="K25" i="19" s="1"/>
  <c r="BI31" i="19"/>
  <c r="K31" i="19" s="1"/>
  <c r="BI36" i="19"/>
  <c r="K36" i="19" s="1"/>
  <c r="AP31" i="19"/>
  <c r="AQ33" i="19"/>
  <c r="AQ34" i="19"/>
  <c r="BI32" i="19"/>
  <c r="K32" i="19" s="1"/>
  <c r="BI33" i="19"/>
  <c r="K33" i="19" s="1"/>
  <c r="AP33" i="19"/>
  <c r="AR33" i="19" s="1"/>
  <c r="AQ32" i="19"/>
  <c r="AR32" i="19" s="1"/>
  <c r="AQ31" i="19"/>
  <c r="AO34" i="19"/>
  <c r="BI42" i="19"/>
  <c r="K42" i="19" s="1"/>
  <c r="AP43" i="19"/>
  <c r="AQ40" i="19"/>
  <c r="BI49" i="19"/>
  <c r="K49" i="19" s="1"/>
  <c r="AQ50" i="19"/>
  <c r="AO49" i="19"/>
  <c r="AQ52" i="19"/>
  <c r="BI51" i="19"/>
  <c r="K51" i="19" s="1"/>
  <c r="AP52" i="19"/>
  <c r="AP50" i="19"/>
  <c r="AQ49" i="19"/>
  <c r="AO52" i="19"/>
  <c r="AO51" i="19"/>
  <c r="BI53" i="19"/>
  <c r="K53" i="19" s="1"/>
  <c r="AQ61" i="19"/>
  <c r="AP59" i="19"/>
  <c r="AP60" i="19"/>
  <c r="BI59" i="19"/>
  <c r="K59" i="19" s="1"/>
  <c r="BI61" i="19"/>
  <c r="K61" i="19" s="1"/>
  <c r="AO59" i="19"/>
  <c r="BI60" i="19"/>
  <c r="K60" i="19" s="1"/>
  <c r="AP61" i="19"/>
  <c r="AP58" i="19"/>
  <c r="AR58" i="19" s="1"/>
  <c r="AQ68" i="19"/>
  <c r="BI70" i="19"/>
  <c r="K70" i="19" s="1"/>
  <c r="AO69" i="19"/>
  <c r="BI67" i="19"/>
  <c r="K67" i="19" s="1"/>
  <c r="AO70" i="19"/>
  <c r="AO67" i="19"/>
  <c r="AP70" i="19"/>
  <c r="AQ67" i="19"/>
  <c r="AR67" i="19" s="1"/>
  <c r="AO68" i="19"/>
  <c r="BI71" i="19"/>
  <c r="K71" i="19" s="1"/>
  <c r="BL106" i="19"/>
  <c r="BL109" i="19"/>
  <c r="BD87" i="19"/>
  <c r="BB90" i="19"/>
  <c r="BL96" i="19"/>
  <c r="BI80" i="19"/>
  <c r="K80" i="19" s="1"/>
  <c r="BI76" i="19"/>
  <c r="K76" i="19" s="1"/>
  <c r="AO13" i="19"/>
  <c r="AP15" i="19"/>
  <c r="AQ14" i="19"/>
  <c r="AO16" i="19"/>
  <c r="AP13" i="19"/>
  <c r="AO14" i="19"/>
  <c r="BI16" i="19"/>
  <c r="K16" i="19" s="1"/>
  <c r="AO15" i="19"/>
  <c r="BI14" i="19"/>
  <c r="K14" i="19" s="1"/>
  <c r="BI15" i="19"/>
  <c r="K15" i="19" s="1"/>
  <c r="AQ5" i="19"/>
  <c r="BI9" i="19"/>
  <c r="K9" i="19" s="1"/>
  <c r="AQ4" i="19"/>
  <c r="BI4" i="19"/>
  <c r="K4" i="19" s="1"/>
  <c r="BI5" i="19"/>
  <c r="K5" i="19" s="1"/>
  <c r="AO7" i="19"/>
  <c r="BI7" i="19"/>
  <c r="K7" i="19" s="1"/>
  <c r="BI8" i="19"/>
  <c r="K8" i="19" s="1"/>
  <c r="AO6" i="19"/>
  <c r="AO5" i="19"/>
  <c r="AP25" i="19"/>
  <c r="AQ25" i="19"/>
  <c r="AQ59" i="19"/>
  <c r="BB87" i="19"/>
  <c r="BL95" i="19"/>
  <c r="AP7" i="19"/>
  <c r="AP16" i="19"/>
  <c r="BI13" i="19"/>
  <c r="K13" i="19" s="1"/>
  <c r="BI35" i="19"/>
  <c r="K35" i="19" s="1"/>
  <c r="BD90" i="19"/>
  <c r="BL102" i="19"/>
  <c r="AQ43" i="19"/>
  <c r="BL100" i="19"/>
  <c r="BD88" i="19"/>
  <c r="AP51" i="19"/>
  <c r="AO58" i="19"/>
  <c r="BI58" i="19"/>
  <c r="K58" i="19" s="1"/>
  <c r="AP68" i="19"/>
  <c r="BI77" i="19"/>
  <c r="K77" i="19" s="1"/>
  <c r="BI90" i="19"/>
  <c r="AO61" i="19"/>
  <c r="BI45" i="19"/>
  <c r="K45" i="19" s="1"/>
  <c r="AQ51" i="19"/>
  <c r="AO50" i="19"/>
  <c r="BI50" i="19"/>
  <c r="K50" i="19" s="1"/>
  <c r="BI52" i="19"/>
  <c r="K52" i="19" s="1"/>
  <c r="BI62" i="19"/>
  <c r="K62" i="19" s="1"/>
  <c r="AQ69" i="19"/>
  <c r="AR69" i="19" s="1"/>
  <c r="BI72" i="19"/>
  <c r="K72" i="19" s="1"/>
  <c r="BL97" i="19"/>
  <c r="BB89" i="19"/>
  <c r="AQ70" i="19"/>
  <c r="BI79" i="19"/>
  <c r="K79" i="19" s="1"/>
  <c r="BI83" i="19"/>
  <c r="K83" i="19" s="1"/>
  <c r="BD94" i="19"/>
  <c r="BI103" i="19"/>
  <c r="T18" i="19" s="1"/>
  <c r="BI88" i="19"/>
  <c r="BI95" i="19"/>
  <c r="BB95" i="19"/>
  <c r="BL119" i="19"/>
  <c r="BB99" i="19" l="1"/>
  <c r="N99" i="19"/>
  <c r="AR49" i="19"/>
  <c r="AR6" i="19"/>
  <c r="AR7" i="19"/>
  <c r="AR34" i="19"/>
  <c r="AR4" i="19"/>
  <c r="AM23" i="19"/>
  <c r="BL113" i="19"/>
  <c r="AR24" i="19"/>
  <c r="AR43" i="19"/>
  <c r="AR59" i="19"/>
  <c r="AR50" i="19"/>
  <c r="AR5" i="19"/>
  <c r="BD99" i="19"/>
  <c r="AM22" i="19"/>
  <c r="AR61" i="19"/>
  <c r="AM34" i="19"/>
  <c r="AR14" i="19"/>
  <c r="AR16" i="19"/>
  <c r="AR60" i="19"/>
  <c r="AR52" i="19"/>
  <c r="AR40" i="19"/>
  <c r="AM24" i="19"/>
  <c r="AM25" i="19"/>
  <c r="AR15" i="19"/>
  <c r="AR13" i="19"/>
  <c r="AM7" i="19"/>
  <c r="AR68" i="19"/>
  <c r="AM16" i="19"/>
  <c r="AM67" i="19"/>
  <c r="AM4" i="19"/>
  <c r="T16" i="19"/>
  <c r="T13" i="19"/>
  <c r="V13" i="19" s="1"/>
  <c r="AM33" i="19"/>
  <c r="AM31" i="19"/>
  <c r="AM32" i="19"/>
  <c r="AR31" i="19"/>
  <c r="AM52" i="19"/>
  <c r="AM69" i="19"/>
  <c r="AM68" i="19"/>
  <c r="AM70" i="19"/>
  <c r="AR70" i="19"/>
  <c r="AM14" i="19"/>
  <c r="AM15" i="19"/>
  <c r="AM13" i="19"/>
  <c r="AM5" i="19"/>
  <c r="AM6" i="19"/>
  <c r="AM49" i="19"/>
  <c r="AM58" i="19"/>
  <c r="AM59" i="19"/>
  <c r="AR51" i="19"/>
  <c r="AR25" i="19"/>
  <c r="AM50" i="19"/>
  <c r="AM61" i="19"/>
  <c r="T14" i="19"/>
  <c r="AM51" i="19"/>
  <c r="T15" i="19"/>
  <c r="AM60" i="19"/>
  <c r="AC63" i="6"/>
  <c r="AC62" i="6"/>
  <c r="AC61" i="6"/>
  <c r="AC60" i="6"/>
  <c r="AC59" i="6"/>
  <c r="AC58" i="6"/>
  <c r="AC54" i="6"/>
  <c r="AC53" i="6"/>
  <c r="AC52" i="6"/>
  <c r="AC51" i="6"/>
  <c r="AC50" i="6"/>
  <c r="AC49" i="6"/>
  <c r="Y72" i="6"/>
  <c r="Y71" i="6"/>
  <c r="Y70" i="6"/>
  <c r="Y69" i="6"/>
  <c r="Y68" i="6"/>
  <c r="Y67" i="6"/>
  <c r="Y63" i="6"/>
  <c r="Y62" i="6"/>
  <c r="Y61" i="6"/>
  <c r="Y60" i="6"/>
  <c r="Y59" i="6"/>
  <c r="Y58" i="6"/>
  <c r="Y54" i="6"/>
  <c r="Y53" i="6"/>
  <c r="Y52" i="6"/>
  <c r="Y51" i="6"/>
  <c r="Y50" i="6"/>
  <c r="Y49" i="6"/>
  <c r="AK5" i="19" l="1"/>
  <c r="AK33" i="19"/>
  <c r="AL61" i="19"/>
  <c r="AK58" i="19"/>
  <c r="AL7" i="19"/>
  <c r="AK34" i="19"/>
  <c r="AL33" i="19"/>
  <c r="AK52" i="19"/>
  <c r="AK61" i="19"/>
  <c r="AL59" i="19"/>
  <c r="AL60" i="19"/>
  <c r="AK7" i="19"/>
  <c r="AK50" i="19"/>
  <c r="AL5" i="19"/>
  <c r="AL6" i="19"/>
  <c r="AK60" i="19"/>
  <c r="AK4" i="19"/>
  <c r="AK59" i="19"/>
  <c r="AJ59" i="19" s="1"/>
  <c r="AL58" i="19"/>
  <c r="AL4" i="19"/>
  <c r="AK6" i="19"/>
  <c r="AK14" i="19"/>
  <c r="AK69" i="19"/>
  <c r="AL16" i="19"/>
  <c r="AL13" i="19"/>
  <c r="AL50" i="19"/>
  <c r="AK49" i="19"/>
  <c r="AK70" i="19"/>
  <c r="AL68" i="19"/>
  <c r="AL69" i="19"/>
  <c r="AK16" i="19"/>
  <c r="AL15" i="19"/>
  <c r="AK13" i="19"/>
  <c r="AJ13" i="19" s="1"/>
  <c r="AL14" i="19"/>
  <c r="AK15" i="19"/>
  <c r="AL31" i="19"/>
  <c r="AL32" i="19"/>
  <c r="AK31" i="19"/>
  <c r="AL34" i="19"/>
  <c r="AK32" i="19"/>
  <c r="AL49" i="19"/>
  <c r="AK68" i="19"/>
  <c r="AL67" i="19"/>
  <c r="AL70" i="19"/>
  <c r="AK67" i="19"/>
  <c r="AK25" i="19"/>
  <c r="AL24" i="19"/>
  <c r="AL25" i="19"/>
  <c r="AL23" i="19"/>
  <c r="AK23" i="19"/>
  <c r="AK22" i="19"/>
  <c r="AK24" i="19"/>
  <c r="AL22" i="19"/>
  <c r="AK51" i="19"/>
  <c r="AL51" i="19"/>
  <c r="AL52" i="19"/>
  <c r="AJ52" i="19" s="1"/>
  <c r="AC72" i="6"/>
  <c r="AC71" i="6"/>
  <c r="AC70" i="6"/>
  <c r="AC69" i="6"/>
  <c r="AC68" i="6"/>
  <c r="AC67" i="6"/>
  <c r="AC45" i="6"/>
  <c r="AC44" i="6"/>
  <c r="AC43" i="6"/>
  <c r="AC42" i="6"/>
  <c r="AC41" i="6"/>
  <c r="AC40" i="6"/>
  <c r="AC36" i="6"/>
  <c r="AC35" i="6"/>
  <c r="AC34" i="6"/>
  <c r="AC33" i="6"/>
  <c r="AC32" i="6"/>
  <c r="AC31" i="6"/>
  <c r="AC27" i="6"/>
  <c r="AC26" i="6"/>
  <c r="AC25" i="6"/>
  <c r="AC24" i="6"/>
  <c r="AC23" i="6"/>
  <c r="AC22" i="6"/>
  <c r="AC18" i="6"/>
  <c r="AC17" i="6"/>
  <c r="AC16" i="6"/>
  <c r="AC15" i="6"/>
  <c r="AC14" i="6"/>
  <c r="AC13" i="6"/>
  <c r="AC9" i="6"/>
  <c r="AC8" i="6"/>
  <c r="AC7" i="6"/>
  <c r="AC6" i="6"/>
  <c r="AC5" i="6"/>
  <c r="Y45" i="6"/>
  <c r="Y44" i="6"/>
  <c r="Y43" i="6"/>
  <c r="Y42" i="6"/>
  <c r="Y41" i="6"/>
  <c r="Y40" i="6"/>
  <c r="Y36" i="6"/>
  <c r="Y35" i="6"/>
  <c r="Y34" i="6"/>
  <c r="Y33" i="6"/>
  <c r="Y32" i="6"/>
  <c r="Y31" i="6"/>
  <c r="Y27" i="6"/>
  <c r="Y26" i="6"/>
  <c r="Y25" i="6"/>
  <c r="Y24" i="6"/>
  <c r="Y23" i="6"/>
  <c r="Y22" i="6"/>
  <c r="Y18" i="6"/>
  <c r="Y17" i="6"/>
  <c r="Y16" i="6"/>
  <c r="Y15" i="6"/>
  <c r="Y14" i="6"/>
  <c r="Y13" i="6"/>
  <c r="Y9" i="6"/>
  <c r="Y8" i="6"/>
  <c r="Y7" i="6"/>
  <c r="Y6" i="6"/>
  <c r="Y5" i="6"/>
  <c r="AC4" i="6"/>
  <c r="Y4" i="6"/>
  <c r="AJ5" i="19" l="1"/>
  <c r="AJ7" i="19"/>
  <c r="AJ14" i="19"/>
  <c r="AJ33" i="19"/>
  <c r="AJ58" i="19"/>
  <c r="AJ4" i="19"/>
  <c r="AJ61" i="19"/>
  <c r="AJ49" i="19"/>
  <c r="AJ34" i="19"/>
  <c r="AJ60" i="19"/>
  <c r="AJ70" i="19"/>
  <c r="AJ15" i="19"/>
  <c r="AJ16" i="19"/>
  <c r="AJ69" i="19"/>
  <c r="AJ50" i="19"/>
  <c r="AJ6" i="19"/>
  <c r="AJ31" i="19"/>
  <c r="AJ68" i="19"/>
  <c r="AJ32" i="19"/>
  <c r="AJ24" i="19"/>
  <c r="AJ67" i="19"/>
  <c r="AJ51" i="19"/>
  <c r="AJ22" i="19"/>
  <c r="AJ23" i="19"/>
  <c r="AJ25" i="19"/>
  <c r="AI4" i="19" l="1"/>
  <c r="AI32" i="19"/>
  <c r="AI61" i="19"/>
  <c r="AI58" i="19"/>
  <c r="AI59" i="19"/>
  <c r="AI60" i="19"/>
  <c r="AI51" i="19"/>
  <c r="AI7" i="19"/>
  <c r="AI13" i="19"/>
  <c r="AI6" i="19"/>
  <c r="AI5" i="19"/>
  <c r="AI15" i="19"/>
  <c r="AI14" i="19"/>
  <c r="AI69" i="19"/>
  <c r="AI16" i="19"/>
  <c r="AI34" i="19"/>
  <c r="AI67" i="19"/>
  <c r="AI68" i="19"/>
  <c r="AI70" i="19"/>
  <c r="AI33" i="19"/>
  <c r="AI31" i="19"/>
  <c r="AU32" i="19" s="1"/>
  <c r="M32" i="19" s="1"/>
  <c r="F76" i="19" s="1"/>
  <c r="AI22" i="19"/>
  <c r="AI50" i="19"/>
  <c r="AU58" i="19"/>
  <c r="M58" i="19" s="1"/>
  <c r="D81" i="19" s="1"/>
  <c r="AU59" i="19"/>
  <c r="M59" i="19" s="1"/>
  <c r="F83" i="19" s="1"/>
  <c r="AI23" i="19"/>
  <c r="AI24" i="19"/>
  <c r="AI25" i="19"/>
  <c r="AI49" i="19"/>
  <c r="AI52" i="19"/>
  <c r="AU15" i="19" l="1"/>
  <c r="AV15" i="19" s="1"/>
  <c r="AU68" i="19"/>
  <c r="M68" i="19" s="1"/>
  <c r="F81" i="19" s="1"/>
  <c r="N81" i="19" s="1"/>
  <c r="AU60" i="19"/>
  <c r="M60" i="19" s="1"/>
  <c r="AU24" i="19"/>
  <c r="M24" i="19" s="1"/>
  <c r="AU61" i="19"/>
  <c r="AX15" i="19"/>
  <c r="AU13" i="19"/>
  <c r="M13" i="19" s="1"/>
  <c r="D78" i="19" s="1"/>
  <c r="AU6" i="19"/>
  <c r="AU4" i="19"/>
  <c r="M4" i="19" s="1"/>
  <c r="D77" i="19" s="1"/>
  <c r="AU5" i="19"/>
  <c r="AU7" i="19"/>
  <c r="AU33" i="19"/>
  <c r="AW33" i="19" s="1"/>
  <c r="AU14" i="19"/>
  <c r="AU34" i="19"/>
  <c r="AU16" i="19"/>
  <c r="AY16" i="19" s="1"/>
  <c r="AU67" i="19"/>
  <c r="AU70" i="19"/>
  <c r="AU69" i="19"/>
  <c r="M69" i="19" s="1"/>
  <c r="AU31" i="19"/>
  <c r="AU23" i="19"/>
  <c r="AY32" i="19"/>
  <c r="AV32" i="19"/>
  <c r="AX32" i="19"/>
  <c r="AU22" i="19"/>
  <c r="AU25" i="19"/>
  <c r="AW32" i="19"/>
  <c r="AW61" i="19"/>
  <c r="AU52" i="19"/>
  <c r="M52" i="19" s="1"/>
  <c r="AU50" i="19"/>
  <c r="M50" i="19" s="1"/>
  <c r="F80" i="19" s="1"/>
  <c r="AU51" i="19"/>
  <c r="M51" i="19" s="1"/>
  <c r="AU49" i="19"/>
  <c r="M49" i="19" s="1"/>
  <c r="D82" i="19" s="1"/>
  <c r="AV23" i="19"/>
  <c r="AX59" i="19"/>
  <c r="AV59" i="19"/>
  <c r="AW59" i="19"/>
  <c r="AY59" i="19"/>
  <c r="AY68" i="19"/>
  <c r="AY34" i="19"/>
  <c r="AY58" i="19"/>
  <c r="AX58" i="19"/>
  <c r="AW58" i="19"/>
  <c r="AV58" i="19"/>
  <c r="AV60" i="19" l="1"/>
  <c r="AY15" i="19"/>
  <c r="M15" i="19"/>
  <c r="O15" i="19" s="1"/>
  <c r="AW15" i="19"/>
  <c r="AV69" i="19"/>
  <c r="N69" i="19" s="1"/>
  <c r="AX69" i="19"/>
  <c r="P69" i="19" s="1"/>
  <c r="AX5" i="19"/>
  <c r="M5" i="19"/>
  <c r="F78" i="19" s="1"/>
  <c r="N78" i="19" s="1"/>
  <c r="AV6" i="19"/>
  <c r="M6" i="19"/>
  <c r="AW7" i="19"/>
  <c r="M7" i="19"/>
  <c r="AV16" i="19"/>
  <c r="AY14" i="19"/>
  <c r="M14" i="19"/>
  <c r="F77" i="19" s="1"/>
  <c r="N77" i="19" s="1"/>
  <c r="AW16" i="19"/>
  <c r="M16" i="19"/>
  <c r="AW24" i="19"/>
  <c r="AY24" i="19"/>
  <c r="Q24" i="19" s="1"/>
  <c r="AV24" i="19"/>
  <c r="N24" i="19" s="1"/>
  <c r="AY22" i="19"/>
  <c r="M22" i="19"/>
  <c r="D76" i="19" s="1"/>
  <c r="AW25" i="19"/>
  <c r="M25" i="19"/>
  <c r="O25" i="19" s="1"/>
  <c r="AX23" i="19"/>
  <c r="M23" i="19"/>
  <c r="F79" i="19" s="1"/>
  <c r="BD79" i="19" s="1"/>
  <c r="BL87" i="19" s="1"/>
  <c r="AX24" i="19"/>
  <c r="P24" i="19" s="1"/>
  <c r="AX34" i="19"/>
  <c r="P34" i="19" s="1"/>
  <c r="M34" i="19"/>
  <c r="AY31" i="19"/>
  <c r="M31" i="19"/>
  <c r="D79" i="19" s="1"/>
  <c r="AV33" i="19"/>
  <c r="N33" i="19" s="1"/>
  <c r="M33" i="19"/>
  <c r="AX60" i="19"/>
  <c r="AW60" i="19"/>
  <c r="AY61" i="19"/>
  <c r="M61" i="19"/>
  <c r="AY60" i="19"/>
  <c r="Q60" i="19" s="1"/>
  <c r="AV61" i="19"/>
  <c r="N61" i="19" s="1"/>
  <c r="AX68" i="19"/>
  <c r="P68" i="19" s="1"/>
  <c r="AY69" i="19"/>
  <c r="Q69" i="19" s="1"/>
  <c r="AW68" i="19"/>
  <c r="O68" i="19" s="1"/>
  <c r="AW69" i="19"/>
  <c r="O69" i="19" s="1"/>
  <c r="AW70" i="19"/>
  <c r="M70" i="19"/>
  <c r="AX67" i="19"/>
  <c r="M67" i="19"/>
  <c r="D83" i="19" s="1"/>
  <c r="N83" i="19" s="1"/>
  <c r="AV68" i="19"/>
  <c r="N68" i="19" s="1"/>
  <c r="AV25" i="19"/>
  <c r="AY33" i="19"/>
  <c r="Q33" i="19" s="1"/>
  <c r="AW6" i="19"/>
  <c r="AX6" i="19"/>
  <c r="AY6" i="19"/>
  <c r="AX33" i="19"/>
  <c r="P33" i="19" s="1"/>
  <c r="AX70" i="19"/>
  <c r="AX61" i="19"/>
  <c r="AV14" i="19"/>
  <c r="AX16" i="19"/>
  <c r="P16" i="19" s="1"/>
  <c r="AV34" i="19"/>
  <c r="N34" i="19" s="1"/>
  <c r="AW23" i="19"/>
  <c r="AW34" i="19"/>
  <c r="AY23" i="19"/>
  <c r="Q23" i="19" s="1"/>
  <c r="AV67" i="19"/>
  <c r="AW13" i="19"/>
  <c r="O14" i="19" s="1"/>
  <c r="AY13" i="19"/>
  <c r="AV13" i="19"/>
  <c r="AX13" i="19"/>
  <c r="AV5" i="19"/>
  <c r="AV7" i="19"/>
  <c r="AY4" i="19"/>
  <c r="AV4" i="19"/>
  <c r="N4" i="19" s="1"/>
  <c r="AX4" i="19"/>
  <c r="AW4" i="19"/>
  <c r="O4" i="19" s="1"/>
  <c r="AX7" i="19"/>
  <c r="AY7" i="19"/>
  <c r="AW31" i="19"/>
  <c r="Q15" i="19"/>
  <c r="AV31" i="19"/>
  <c r="BD76" i="19"/>
  <c r="BL84" i="19" s="1"/>
  <c r="BB78" i="19"/>
  <c r="BL78" i="19" s="1"/>
  <c r="BB76" i="19"/>
  <c r="BL76" i="19" s="1"/>
  <c r="N15" i="19"/>
  <c r="AX14" i="19"/>
  <c r="AW14" i="19"/>
  <c r="AY5" i="19"/>
  <c r="AW5" i="19"/>
  <c r="AV70" i="19"/>
  <c r="AX31" i="19"/>
  <c r="P32" i="19"/>
  <c r="AV22" i="19"/>
  <c r="AY70" i="19"/>
  <c r="AY67" i="19"/>
  <c r="AW67" i="19"/>
  <c r="Q16" i="19"/>
  <c r="O33" i="19"/>
  <c r="O32" i="19"/>
  <c r="AX22" i="19"/>
  <c r="AW22" i="19"/>
  <c r="Q32" i="19"/>
  <c r="N32" i="19"/>
  <c r="BD77" i="19"/>
  <c r="BL85" i="19" s="1"/>
  <c r="AY25" i="19"/>
  <c r="BM119" i="19"/>
  <c r="BM118" i="19"/>
  <c r="BM109" i="19"/>
  <c r="BM107" i="19"/>
  <c r="BM108" i="19"/>
  <c r="BM106" i="19"/>
  <c r="BM102" i="19"/>
  <c r="BM98" i="19"/>
  <c r="BM96" i="19"/>
  <c r="BM100" i="19"/>
  <c r="BM101" i="19"/>
  <c r="BM97" i="19"/>
  <c r="BM99" i="19"/>
  <c r="BM95" i="19"/>
  <c r="AX25" i="19"/>
  <c r="Q58" i="19"/>
  <c r="P58" i="19"/>
  <c r="O58" i="19"/>
  <c r="N58" i="19"/>
  <c r="N60" i="19"/>
  <c r="P60" i="19"/>
  <c r="O60" i="19"/>
  <c r="AY52" i="19"/>
  <c r="AX52" i="19"/>
  <c r="AW52" i="19"/>
  <c r="AV52" i="19"/>
  <c r="O59" i="19"/>
  <c r="N59" i="19"/>
  <c r="BD83" i="19"/>
  <c r="BL91" i="19" s="1"/>
  <c r="P59" i="19"/>
  <c r="Q59" i="19"/>
  <c r="AY50" i="19"/>
  <c r="AX50" i="19"/>
  <c r="AW50" i="19"/>
  <c r="AV50" i="19"/>
  <c r="O34" i="19"/>
  <c r="Q34" i="19"/>
  <c r="N23" i="19"/>
  <c r="P23" i="19"/>
  <c r="Q68" i="19"/>
  <c r="BD81" i="19"/>
  <c r="BL89" i="19" s="1"/>
  <c r="Q22" i="19"/>
  <c r="AW49" i="19"/>
  <c r="AV49" i="19"/>
  <c r="AY49" i="19"/>
  <c r="AX49" i="19"/>
  <c r="O24" i="19"/>
  <c r="AW51" i="19"/>
  <c r="AV51" i="19"/>
  <c r="AY51" i="19"/>
  <c r="AX51" i="19"/>
  <c r="BJ119" i="6"/>
  <c r="BJ118" i="6"/>
  <c r="BJ114" i="6"/>
  <c r="BJ113" i="6"/>
  <c r="BJ109" i="6"/>
  <c r="BJ108" i="6"/>
  <c r="BJ107" i="6"/>
  <c r="BJ106" i="6"/>
  <c r="BF103" i="6"/>
  <c r="BE103" i="6"/>
  <c r="BC103" i="6"/>
  <c r="BB103" i="6"/>
  <c r="BI118" i="6"/>
  <c r="BJ102" i="6"/>
  <c r="BJ101" i="6"/>
  <c r="BJ100" i="6"/>
  <c r="BJ99" i="6"/>
  <c r="BF99" i="6"/>
  <c r="BE99" i="6"/>
  <c r="BC99" i="6"/>
  <c r="BJ98" i="6"/>
  <c r="BJ97" i="6"/>
  <c r="BJ96" i="6"/>
  <c r="BJ95" i="6"/>
  <c r="BF95" i="6"/>
  <c r="BE95" i="6"/>
  <c r="BC95" i="6"/>
  <c r="BB95" i="6"/>
  <c r="O95" i="6"/>
  <c r="BF94" i="6"/>
  <c r="BE94" i="6"/>
  <c r="BC94" i="6"/>
  <c r="BI108" i="6"/>
  <c r="O94" i="6"/>
  <c r="BJ91" i="6"/>
  <c r="BJ90" i="6"/>
  <c r="BF90" i="6"/>
  <c r="BE90" i="6"/>
  <c r="BC90" i="6"/>
  <c r="BB90" i="6"/>
  <c r="BI98" i="6"/>
  <c r="BJ89" i="6"/>
  <c r="BF89" i="6"/>
  <c r="BE89" i="6"/>
  <c r="BC89" i="6"/>
  <c r="AZ89" i="6"/>
  <c r="BJ88" i="6"/>
  <c r="BF88" i="6"/>
  <c r="BE88" i="6"/>
  <c r="BC88" i="6"/>
  <c r="BI100" i="6"/>
  <c r="BI96" i="6"/>
  <c r="BJ87" i="6"/>
  <c r="BF87" i="6"/>
  <c r="BE87" i="6"/>
  <c r="BC87" i="6"/>
  <c r="BB87" i="6"/>
  <c r="BI95" i="6"/>
  <c r="BJ86" i="6"/>
  <c r="BJ85" i="6"/>
  <c r="BJ84" i="6"/>
  <c r="BJ83" i="6"/>
  <c r="BF83" i="6"/>
  <c r="BE83" i="6"/>
  <c r="BC83" i="6"/>
  <c r="BJ82" i="6"/>
  <c r="BF82" i="6"/>
  <c r="BE82" i="6"/>
  <c r="BC82" i="6"/>
  <c r="BJ81" i="6"/>
  <c r="BF81" i="6"/>
  <c r="BE81" i="6"/>
  <c r="BC81" i="6"/>
  <c r="BJ80" i="6"/>
  <c r="BF80" i="6"/>
  <c r="BE80" i="6"/>
  <c r="BC80" i="6"/>
  <c r="BJ79" i="6"/>
  <c r="BF79" i="6"/>
  <c r="BE79" i="6"/>
  <c r="BC79" i="6"/>
  <c r="BJ78" i="6"/>
  <c r="BF78" i="6"/>
  <c r="BE78" i="6"/>
  <c r="BC78" i="6"/>
  <c r="BJ77" i="6"/>
  <c r="BF77" i="6"/>
  <c r="BE77" i="6"/>
  <c r="BC77" i="6"/>
  <c r="BJ76" i="6"/>
  <c r="BF76" i="6"/>
  <c r="BE76" i="6"/>
  <c r="BC76" i="6"/>
  <c r="BF72" i="6"/>
  <c r="BE72" i="6"/>
  <c r="BC72" i="6"/>
  <c r="AE72" i="6"/>
  <c r="AD72" i="6"/>
  <c r="AA72" i="6"/>
  <c r="Z72" i="6"/>
  <c r="BF71" i="6"/>
  <c r="BE71" i="6"/>
  <c r="BC71" i="6"/>
  <c r="AE71" i="6"/>
  <c r="AD71" i="6"/>
  <c r="AA71" i="6"/>
  <c r="Z71" i="6"/>
  <c r="BF70" i="6"/>
  <c r="BE70" i="6"/>
  <c r="BC70" i="6"/>
  <c r="AE70" i="6"/>
  <c r="AD70" i="6"/>
  <c r="AA70" i="6"/>
  <c r="Z70" i="6"/>
  <c r="BF69" i="6"/>
  <c r="BE69" i="6"/>
  <c r="BC69" i="6"/>
  <c r="AE69" i="6"/>
  <c r="AD69" i="6"/>
  <c r="AA69" i="6"/>
  <c r="Z69" i="6"/>
  <c r="BF68" i="6"/>
  <c r="BE68" i="6"/>
  <c r="BC68" i="6"/>
  <c r="AE68" i="6"/>
  <c r="AD68" i="6"/>
  <c r="AA68" i="6"/>
  <c r="Z68" i="6"/>
  <c r="BF67" i="6"/>
  <c r="BE67" i="6"/>
  <c r="BC67" i="6"/>
  <c r="AE67" i="6"/>
  <c r="AD67" i="6"/>
  <c r="AA67" i="6"/>
  <c r="Z67" i="6"/>
  <c r="BF63" i="6"/>
  <c r="BE63" i="6"/>
  <c r="BC63" i="6"/>
  <c r="AE63" i="6"/>
  <c r="AD63" i="6"/>
  <c r="AA63" i="6"/>
  <c r="Z63" i="6"/>
  <c r="BF62" i="6"/>
  <c r="BE62" i="6"/>
  <c r="BC62" i="6"/>
  <c r="AE62" i="6"/>
  <c r="AD62" i="6"/>
  <c r="AA62" i="6"/>
  <c r="Z62" i="6"/>
  <c r="BF61" i="6"/>
  <c r="BE61" i="6"/>
  <c r="BC61" i="6"/>
  <c r="AE61" i="6"/>
  <c r="AD61" i="6"/>
  <c r="AA61" i="6"/>
  <c r="Z61" i="6"/>
  <c r="BF60" i="6"/>
  <c r="BE60" i="6"/>
  <c r="BC60" i="6"/>
  <c r="AE60" i="6"/>
  <c r="AD60" i="6"/>
  <c r="AA60" i="6"/>
  <c r="Z60" i="6"/>
  <c r="BF59" i="6"/>
  <c r="BE59" i="6"/>
  <c r="BC59" i="6"/>
  <c r="AE59" i="6"/>
  <c r="AD59" i="6"/>
  <c r="AA59" i="6"/>
  <c r="Z59" i="6"/>
  <c r="BF58" i="6"/>
  <c r="BE58" i="6"/>
  <c r="BC58" i="6"/>
  <c r="AE58" i="6"/>
  <c r="AD58" i="6"/>
  <c r="AA58" i="6"/>
  <c r="Z58" i="6"/>
  <c r="BF54" i="6"/>
  <c r="BE54" i="6"/>
  <c r="BC54" i="6"/>
  <c r="AE54" i="6"/>
  <c r="AD54" i="6"/>
  <c r="AA54" i="6"/>
  <c r="Z54" i="6"/>
  <c r="BF53" i="6"/>
  <c r="BE53" i="6"/>
  <c r="BC53" i="6"/>
  <c r="AE53" i="6"/>
  <c r="AD53" i="6"/>
  <c r="AA53" i="6"/>
  <c r="Z53" i="6"/>
  <c r="BF52" i="6"/>
  <c r="BE52" i="6"/>
  <c r="BC52" i="6"/>
  <c r="AE52" i="6"/>
  <c r="AD52" i="6"/>
  <c r="AA52" i="6"/>
  <c r="Z52" i="6"/>
  <c r="BF51" i="6"/>
  <c r="BE51" i="6"/>
  <c r="BC51" i="6"/>
  <c r="AE51" i="6"/>
  <c r="AD51" i="6"/>
  <c r="AA51" i="6"/>
  <c r="Z51" i="6"/>
  <c r="BF50" i="6"/>
  <c r="BE50" i="6"/>
  <c r="BC50" i="6"/>
  <c r="AE50" i="6"/>
  <c r="AD50" i="6"/>
  <c r="AA50" i="6"/>
  <c r="Z50" i="6"/>
  <c r="BF49" i="6"/>
  <c r="BE49" i="6"/>
  <c r="BC49" i="6"/>
  <c r="AE49" i="6"/>
  <c r="AD49" i="6"/>
  <c r="AA49" i="6"/>
  <c r="Z49" i="6"/>
  <c r="BF45" i="6"/>
  <c r="BE45" i="6"/>
  <c r="BC45" i="6"/>
  <c r="AE45" i="6"/>
  <c r="AD45" i="6"/>
  <c r="AA45" i="6"/>
  <c r="Z45" i="6"/>
  <c r="BF44" i="6"/>
  <c r="BE44" i="6"/>
  <c r="BC44" i="6"/>
  <c r="AE44" i="6"/>
  <c r="AD44" i="6"/>
  <c r="AA44" i="6"/>
  <c r="Z44" i="6"/>
  <c r="BF43" i="6"/>
  <c r="BE43" i="6"/>
  <c r="BC43" i="6"/>
  <c r="AE43" i="6"/>
  <c r="AD43" i="6"/>
  <c r="AA43" i="6"/>
  <c r="Z43" i="6"/>
  <c r="BF42" i="6"/>
  <c r="BE42" i="6"/>
  <c r="BC42" i="6"/>
  <c r="AE42" i="6"/>
  <c r="AD42" i="6"/>
  <c r="AA42" i="6"/>
  <c r="Z42" i="6"/>
  <c r="BF41" i="6"/>
  <c r="BE41" i="6"/>
  <c r="BC41" i="6"/>
  <c r="AE41" i="6"/>
  <c r="AD41" i="6"/>
  <c r="AA41" i="6"/>
  <c r="Z41" i="6"/>
  <c r="BF40" i="6"/>
  <c r="BE40" i="6"/>
  <c r="BC40" i="6"/>
  <c r="AE40" i="6"/>
  <c r="AD40" i="6"/>
  <c r="AA40" i="6"/>
  <c r="Z40" i="6"/>
  <c r="BF36" i="6"/>
  <c r="BE36" i="6"/>
  <c r="BC36" i="6"/>
  <c r="AE36" i="6"/>
  <c r="AD36" i="6"/>
  <c r="AA36" i="6"/>
  <c r="Z36" i="6"/>
  <c r="BF35" i="6"/>
  <c r="BE35" i="6"/>
  <c r="BC35" i="6"/>
  <c r="AE35" i="6"/>
  <c r="AD35" i="6"/>
  <c r="AA35" i="6"/>
  <c r="Z35" i="6"/>
  <c r="BF34" i="6"/>
  <c r="BE34" i="6"/>
  <c r="BC34" i="6"/>
  <c r="AE34" i="6"/>
  <c r="AD34" i="6"/>
  <c r="AA34" i="6"/>
  <c r="Z34" i="6"/>
  <c r="BF33" i="6"/>
  <c r="BE33" i="6"/>
  <c r="BC33" i="6"/>
  <c r="AE33" i="6"/>
  <c r="AD33" i="6"/>
  <c r="AA33" i="6"/>
  <c r="Z33" i="6"/>
  <c r="BF32" i="6"/>
  <c r="BE32" i="6"/>
  <c r="BC32" i="6"/>
  <c r="AE32" i="6"/>
  <c r="AD32" i="6"/>
  <c r="AA32" i="6"/>
  <c r="Z32" i="6"/>
  <c r="BF31" i="6"/>
  <c r="BE31" i="6"/>
  <c r="BC31" i="6"/>
  <c r="AE31" i="6"/>
  <c r="AD31" i="6"/>
  <c r="AA31" i="6"/>
  <c r="Z31" i="6"/>
  <c r="BF27" i="6"/>
  <c r="BE27" i="6"/>
  <c r="BC27" i="6"/>
  <c r="AE27" i="6"/>
  <c r="AD27" i="6"/>
  <c r="AA27" i="6"/>
  <c r="Z27" i="6"/>
  <c r="BF26" i="6"/>
  <c r="BE26" i="6"/>
  <c r="BC26" i="6"/>
  <c r="AE26" i="6"/>
  <c r="AD26" i="6"/>
  <c r="AA26" i="6"/>
  <c r="Z26" i="6"/>
  <c r="BF25" i="6"/>
  <c r="BE25" i="6"/>
  <c r="BC25" i="6"/>
  <c r="AE25" i="6"/>
  <c r="AD25" i="6"/>
  <c r="AA25" i="6"/>
  <c r="Z25" i="6"/>
  <c r="BF24" i="6"/>
  <c r="BE24" i="6"/>
  <c r="BC24" i="6"/>
  <c r="AE24" i="6"/>
  <c r="AD24" i="6"/>
  <c r="AA24" i="6"/>
  <c r="Z24" i="6"/>
  <c r="BF23" i="6"/>
  <c r="BE23" i="6"/>
  <c r="BC23" i="6"/>
  <c r="AE23" i="6"/>
  <c r="AD23" i="6"/>
  <c r="AA23" i="6"/>
  <c r="Z23" i="6"/>
  <c r="BF22" i="6"/>
  <c r="BE22" i="6"/>
  <c r="BC22" i="6"/>
  <c r="AE22" i="6"/>
  <c r="AD22" i="6"/>
  <c r="AA22" i="6"/>
  <c r="Z22" i="6"/>
  <c r="BF18" i="6"/>
  <c r="BE18" i="6"/>
  <c r="BC18" i="6"/>
  <c r="AE18" i="6"/>
  <c r="AD18" i="6"/>
  <c r="AA18" i="6"/>
  <c r="Z18" i="6"/>
  <c r="BF17" i="6"/>
  <c r="BE17" i="6"/>
  <c r="BC17" i="6"/>
  <c r="AE17" i="6"/>
  <c r="AD17" i="6"/>
  <c r="AM13" i="6"/>
  <c r="AA17" i="6"/>
  <c r="Z17" i="6"/>
  <c r="BF16" i="6"/>
  <c r="BE16" i="6"/>
  <c r="BC16" i="6"/>
  <c r="AE16" i="6"/>
  <c r="AD16" i="6"/>
  <c r="AA16" i="6"/>
  <c r="Z16" i="6"/>
  <c r="BF15" i="6"/>
  <c r="BE15" i="6"/>
  <c r="BC15" i="6"/>
  <c r="AE15" i="6"/>
  <c r="AD15" i="6"/>
  <c r="AA15" i="6"/>
  <c r="Z15" i="6"/>
  <c r="BF14" i="6"/>
  <c r="BE14" i="6"/>
  <c r="BC14" i="6"/>
  <c r="AE14" i="6"/>
  <c r="AD14" i="6"/>
  <c r="AA14" i="6"/>
  <c r="Z14" i="6"/>
  <c r="BF13" i="6"/>
  <c r="BE13" i="6"/>
  <c r="BC13" i="6"/>
  <c r="AE13" i="6"/>
  <c r="AD13" i="6"/>
  <c r="AA13" i="6"/>
  <c r="Z13" i="6"/>
  <c r="BF9" i="6"/>
  <c r="BE9" i="6"/>
  <c r="BC9" i="6"/>
  <c r="AE9" i="6"/>
  <c r="AD9" i="6"/>
  <c r="AA9" i="6"/>
  <c r="Z9" i="6"/>
  <c r="BF8" i="6"/>
  <c r="BE8" i="6"/>
  <c r="BC8" i="6"/>
  <c r="AE8" i="6"/>
  <c r="AD8" i="6"/>
  <c r="AA8" i="6"/>
  <c r="Z8" i="6"/>
  <c r="BF7" i="6"/>
  <c r="BE7" i="6"/>
  <c r="BC7" i="6"/>
  <c r="AE7" i="6"/>
  <c r="AD7" i="6"/>
  <c r="AA7" i="6"/>
  <c r="Z7" i="6"/>
  <c r="BF6" i="6"/>
  <c r="BE6" i="6"/>
  <c r="BC6" i="6"/>
  <c r="AE6" i="6"/>
  <c r="AD6" i="6"/>
  <c r="AA6" i="6"/>
  <c r="Z6" i="6"/>
  <c r="BK5" i="6"/>
  <c r="BF5" i="6"/>
  <c r="BE5" i="6"/>
  <c r="BC5" i="6"/>
  <c r="AE5" i="6"/>
  <c r="AD5" i="6"/>
  <c r="AA5" i="6"/>
  <c r="Z5" i="6"/>
  <c r="BK4" i="6"/>
  <c r="BF4" i="6"/>
  <c r="BE4" i="6"/>
  <c r="BC4" i="6"/>
  <c r="AE4" i="6"/>
  <c r="AD4" i="6"/>
  <c r="AA4" i="6"/>
  <c r="Z4" i="6"/>
  <c r="O76" i="19" l="1"/>
  <c r="N76" i="19"/>
  <c r="P15" i="19"/>
  <c r="O23" i="19"/>
  <c r="O16" i="19"/>
  <c r="N16" i="19"/>
  <c r="N22" i="19"/>
  <c r="N79" i="19"/>
  <c r="N7" i="19"/>
  <c r="N6" i="19"/>
  <c r="O7" i="19"/>
  <c r="Q13" i="19"/>
  <c r="P13" i="19"/>
  <c r="Q61" i="19"/>
  <c r="O6" i="19"/>
  <c r="Q70" i="19"/>
  <c r="O70" i="19"/>
  <c r="Q6" i="19"/>
  <c r="P6" i="19"/>
  <c r="P14" i="19"/>
  <c r="N13" i="19"/>
  <c r="N14" i="19"/>
  <c r="Q14" i="19"/>
  <c r="O13" i="19"/>
  <c r="N25" i="19"/>
  <c r="P22" i="19"/>
  <c r="O22" i="19"/>
  <c r="N31" i="19"/>
  <c r="O31" i="19"/>
  <c r="O61" i="19"/>
  <c r="P61" i="19"/>
  <c r="P70" i="19"/>
  <c r="P67" i="19"/>
  <c r="N70" i="19"/>
  <c r="Q4" i="19"/>
  <c r="P4" i="19"/>
  <c r="P7" i="19"/>
  <c r="Q7" i="19"/>
  <c r="BB79" i="19"/>
  <c r="BL79" i="19" s="1"/>
  <c r="Q5" i="19"/>
  <c r="P5" i="19"/>
  <c r="N5" i="19"/>
  <c r="O5" i="19"/>
  <c r="BB83" i="19"/>
  <c r="BL83" i="19" s="1"/>
  <c r="BB81" i="19"/>
  <c r="BL81" i="19" s="1"/>
  <c r="BB77" i="19"/>
  <c r="BL77" i="19" s="1"/>
  <c r="N67" i="19"/>
  <c r="Q31" i="19"/>
  <c r="P31" i="19"/>
  <c r="O67" i="19"/>
  <c r="Q67" i="19"/>
  <c r="P25" i="19"/>
  <c r="Q25" i="19"/>
  <c r="BN118" i="19"/>
  <c r="BN119" i="19"/>
  <c r="BM114" i="19"/>
  <c r="BM113" i="19"/>
  <c r="BN106" i="19"/>
  <c r="BN107" i="19"/>
  <c r="BN108" i="19"/>
  <c r="BN109" i="19"/>
  <c r="BN99" i="19"/>
  <c r="BN98" i="19"/>
  <c r="BN101" i="19"/>
  <c r="BN97" i="19"/>
  <c r="BN100" i="19"/>
  <c r="BN102" i="19"/>
  <c r="BN95" i="19"/>
  <c r="BN96" i="19"/>
  <c r="Q52" i="19"/>
  <c r="P52" i="19"/>
  <c r="O52" i="19"/>
  <c r="N52" i="19"/>
  <c r="O51" i="19"/>
  <c r="N51" i="19"/>
  <c r="Q51" i="19"/>
  <c r="P51" i="19"/>
  <c r="BD80" i="19"/>
  <c r="BL88" i="19" s="1"/>
  <c r="Q50" i="19"/>
  <c r="P50" i="19"/>
  <c r="O50" i="19"/>
  <c r="N50" i="19"/>
  <c r="O49" i="19"/>
  <c r="N49" i="19"/>
  <c r="Q49" i="19"/>
  <c r="P49" i="19"/>
  <c r="AO13" i="6"/>
  <c r="AM49" i="6"/>
  <c r="AM40" i="6"/>
  <c r="AN5" i="6"/>
  <c r="AN7" i="6"/>
  <c r="AN4" i="6"/>
  <c r="AN6" i="6"/>
  <c r="AO14" i="6"/>
  <c r="AM23" i="6"/>
  <c r="AO50" i="6"/>
  <c r="AM32" i="6"/>
  <c r="AO41" i="6"/>
  <c r="AM51" i="6"/>
  <c r="BI113" i="6"/>
  <c r="BK113" i="6" s="1"/>
  <c r="BL113" i="6" s="1"/>
  <c r="BI114" i="6"/>
  <c r="BK114" i="6" s="1"/>
  <c r="BL114" i="6" s="1"/>
  <c r="BM114" i="6" s="1"/>
  <c r="BI99" i="6"/>
  <c r="BK99" i="6" s="1"/>
  <c r="BK95" i="6"/>
  <c r="BL95" i="6" s="1"/>
  <c r="BM95" i="6" s="1"/>
  <c r="BG43" i="6"/>
  <c r="AO52" i="6"/>
  <c r="AN50" i="6"/>
  <c r="AM59" i="6"/>
  <c r="AN70" i="6"/>
  <c r="AO68" i="6"/>
  <c r="AN69" i="6"/>
  <c r="AM67" i="6"/>
  <c r="AO49" i="6"/>
  <c r="AO42" i="6"/>
  <c r="AZ103" i="6"/>
  <c r="AM34" i="6"/>
  <c r="AN32" i="6"/>
  <c r="AM33" i="6"/>
  <c r="AM31" i="6"/>
  <c r="AN24" i="6"/>
  <c r="AM22" i="6"/>
  <c r="AO16" i="6"/>
  <c r="AM15" i="6"/>
  <c r="AM14" i="6"/>
  <c r="AO31" i="6"/>
  <c r="BG32" i="6"/>
  <c r="BG5" i="6"/>
  <c r="AO4" i="6"/>
  <c r="BG17" i="6"/>
  <c r="AO22" i="6"/>
  <c r="AO25" i="6"/>
  <c r="AM24" i="6"/>
  <c r="BG27" i="6"/>
  <c r="AO34" i="6"/>
  <c r="AM58" i="6"/>
  <c r="BG67" i="6"/>
  <c r="AN68" i="6"/>
  <c r="AO70" i="6"/>
  <c r="AZ90" i="6"/>
  <c r="AZ94" i="6"/>
  <c r="AO40" i="6"/>
  <c r="AM68" i="6"/>
  <c r="BI97" i="6"/>
  <c r="BK97" i="6" s="1"/>
  <c r="AO5" i="6"/>
  <c r="AM7" i="6"/>
  <c r="AN14" i="6"/>
  <c r="BG16" i="6"/>
  <c r="AO23" i="6"/>
  <c r="AO32" i="6"/>
  <c r="AM43" i="6"/>
  <c r="AO60" i="6"/>
  <c r="AO61" i="6"/>
  <c r="AO58" i="6"/>
  <c r="AM60" i="6"/>
  <c r="BG90" i="6"/>
  <c r="BG94" i="6"/>
  <c r="AM4" i="6"/>
  <c r="BG22" i="6"/>
  <c r="BG35" i="6"/>
  <c r="BG59" i="6"/>
  <c r="BI107" i="6"/>
  <c r="BK107" i="6" s="1"/>
  <c r="BL107" i="6" s="1"/>
  <c r="AO6" i="6"/>
  <c r="AO7" i="6"/>
  <c r="AM16" i="6"/>
  <c r="BG25" i="6"/>
  <c r="BG31" i="6"/>
  <c r="AN34" i="6"/>
  <c r="BG36" i="6"/>
  <c r="AM42" i="6"/>
  <c r="AN41" i="6"/>
  <c r="AN43" i="6"/>
  <c r="AO43" i="6"/>
  <c r="BG52" i="6"/>
  <c r="BG54" i="6"/>
  <c r="BG61" i="6"/>
  <c r="AN67" i="6"/>
  <c r="AO69" i="6"/>
  <c r="BG69" i="6"/>
  <c r="BG70" i="6"/>
  <c r="AM69" i="6"/>
  <c r="AZ88" i="6"/>
  <c r="BG89" i="6"/>
  <c r="BK98" i="6"/>
  <c r="BL98" i="6" s="1"/>
  <c r="BM98" i="6" s="1"/>
  <c r="AZ95" i="6"/>
  <c r="BI119" i="6"/>
  <c r="BK119" i="6" s="1"/>
  <c r="AM5" i="6"/>
  <c r="AN52" i="6"/>
  <c r="BG7" i="6"/>
  <c r="AN13" i="6"/>
  <c r="AO15" i="6"/>
  <c r="BG13" i="6"/>
  <c r="BG14" i="6"/>
  <c r="AN23" i="6"/>
  <c r="AN25" i="6"/>
  <c r="AO24" i="6"/>
  <c r="AM25" i="6"/>
  <c r="BG26" i="6"/>
  <c r="AN31" i="6"/>
  <c r="AO33" i="6"/>
  <c r="BG34" i="6"/>
  <c r="AN42" i="6"/>
  <c r="BG40" i="6"/>
  <c r="BG42" i="6"/>
  <c r="AN49" i="6"/>
  <c r="AO51" i="6"/>
  <c r="BG49" i="6"/>
  <c r="BG50" i="6"/>
  <c r="BG51" i="6"/>
  <c r="AN51" i="6"/>
  <c r="AN60" i="6"/>
  <c r="AO59" i="6"/>
  <c r="AO67" i="6"/>
  <c r="AM70" i="6"/>
  <c r="BG71" i="6"/>
  <c r="BG76" i="6"/>
  <c r="BG77" i="6"/>
  <c r="BG78" i="6"/>
  <c r="BG82" i="6"/>
  <c r="BG83" i="6"/>
  <c r="BK108" i="6"/>
  <c r="BL108" i="6" s="1"/>
  <c r="BG103" i="6"/>
  <c r="BG99" i="6"/>
  <c r="BG95" i="6"/>
  <c r="BG87" i="6"/>
  <c r="BG80" i="6"/>
  <c r="BG68" i="6"/>
  <c r="BG63" i="6"/>
  <c r="BG62" i="6"/>
  <c r="BG58" i="6"/>
  <c r="BG44" i="6"/>
  <c r="BG41" i="6"/>
  <c r="BG24" i="6"/>
  <c r="BG23" i="6"/>
  <c r="BG15" i="6"/>
  <c r="BG9" i="6"/>
  <c r="BG8" i="6"/>
  <c r="BG6" i="6"/>
  <c r="BG4" i="6"/>
  <c r="AM6" i="6"/>
  <c r="AN16" i="6"/>
  <c r="AN22" i="6"/>
  <c r="AN15" i="6"/>
  <c r="BG18" i="6"/>
  <c r="BG33" i="6"/>
  <c r="AM41" i="6"/>
  <c r="AN33" i="6"/>
  <c r="AM52" i="6"/>
  <c r="AN58" i="6"/>
  <c r="AM61" i="6"/>
  <c r="BB89" i="6"/>
  <c r="BI101" i="6"/>
  <c r="BK101" i="6" s="1"/>
  <c r="BK100" i="6"/>
  <c r="AN40" i="6"/>
  <c r="BG45" i="6"/>
  <c r="AM50" i="6"/>
  <c r="BG53" i="6"/>
  <c r="BG60" i="6"/>
  <c r="AN61" i="6"/>
  <c r="BG72" i="6"/>
  <c r="BG79" i="6"/>
  <c r="BK118" i="6"/>
  <c r="AN59" i="6"/>
  <c r="BG81" i="6"/>
  <c r="BG88" i="6"/>
  <c r="BK96" i="6"/>
  <c r="AZ87" i="6"/>
  <c r="BI109" i="6"/>
  <c r="BK109" i="6" s="1"/>
  <c r="BB94" i="6"/>
  <c r="BB99" i="6"/>
  <c r="BI102" i="6"/>
  <c r="BK102" i="6" s="1"/>
  <c r="BI106" i="6"/>
  <c r="BK106" i="6" s="1"/>
  <c r="BB88" i="6"/>
  <c r="BO119" i="19" l="1"/>
  <c r="BP119" i="19" s="1"/>
  <c r="BO106" i="19"/>
  <c r="BP106" i="19" s="1"/>
  <c r="BO109" i="19"/>
  <c r="BP109" i="19" s="1"/>
  <c r="BO108" i="19"/>
  <c r="BP108" i="19" s="1"/>
  <c r="BO98" i="19"/>
  <c r="BP98" i="19" s="1"/>
  <c r="BO100" i="19"/>
  <c r="BP100" i="19" s="1"/>
  <c r="BO101" i="19"/>
  <c r="BP101" i="19" s="1"/>
  <c r="BO97" i="19"/>
  <c r="BP97" i="19" s="1"/>
  <c r="BO99" i="19"/>
  <c r="BP99" i="19" s="1"/>
  <c r="AP51" i="6"/>
  <c r="AP41" i="6"/>
  <c r="AP14" i="6"/>
  <c r="BB82" i="19"/>
  <c r="BL82" i="19" s="1"/>
  <c r="BD78" i="19"/>
  <c r="BL86" i="19" s="1"/>
  <c r="BO118" i="19"/>
  <c r="BO107" i="19"/>
  <c r="BN113" i="19"/>
  <c r="BN114" i="19"/>
  <c r="BO95" i="19"/>
  <c r="BP95" i="19" s="1"/>
  <c r="BO102" i="19"/>
  <c r="BP102" i="19" s="1"/>
  <c r="BO96" i="19"/>
  <c r="BP96" i="19" s="1"/>
  <c r="AP68" i="6"/>
  <c r="AP16" i="6"/>
  <c r="AP13" i="6"/>
  <c r="AP58" i="6"/>
  <c r="AP69" i="6"/>
  <c r="AP70" i="6"/>
  <c r="AK61" i="6"/>
  <c r="AP24" i="6"/>
  <c r="AP50" i="6"/>
  <c r="AZ99" i="6"/>
  <c r="AK43" i="6"/>
  <c r="AP42" i="6"/>
  <c r="AK51" i="6"/>
  <c r="AP52" i="6"/>
  <c r="AK67" i="6"/>
  <c r="AK70" i="6"/>
  <c r="AK68" i="6"/>
  <c r="AP49" i="6"/>
  <c r="AK31" i="6"/>
  <c r="AP32" i="6"/>
  <c r="AK32" i="6"/>
  <c r="AK33" i="6"/>
  <c r="AK34" i="6"/>
  <c r="AP31" i="6"/>
  <c r="AP34" i="6"/>
  <c r="AK24" i="6"/>
  <c r="AP25" i="6"/>
  <c r="AK13" i="6"/>
  <c r="AP15" i="6"/>
  <c r="AK14" i="6"/>
  <c r="AK15" i="6"/>
  <c r="AK16" i="6"/>
  <c r="AP7" i="6"/>
  <c r="AP4" i="6"/>
  <c r="AP6" i="6"/>
  <c r="AP40" i="6"/>
  <c r="AP60" i="6"/>
  <c r="AP61" i="6"/>
  <c r="AP22" i="6"/>
  <c r="AP59" i="6"/>
  <c r="BM113" i="6"/>
  <c r="BM115" i="6" s="1"/>
  <c r="AP23" i="6"/>
  <c r="AP43" i="6"/>
  <c r="BM107" i="6"/>
  <c r="AP5" i="6"/>
  <c r="BM108" i="6"/>
  <c r="AK60" i="6"/>
  <c r="AP33" i="6"/>
  <c r="AK25" i="6"/>
  <c r="AK69" i="6"/>
  <c r="AP67" i="6"/>
  <c r="AK6" i="6"/>
  <c r="AK52" i="6"/>
  <c r="AK23" i="6"/>
  <c r="AK22" i="6"/>
  <c r="AK4" i="6"/>
  <c r="BL101" i="6"/>
  <c r="BM101" i="6" s="1"/>
  <c r="BL109" i="6"/>
  <c r="BM109" i="6" s="1"/>
  <c r="BL99" i="6"/>
  <c r="BM99" i="6" s="1"/>
  <c r="AK59" i="6"/>
  <c r="AK5" i="6"/>
  <c r="AK7" i="6"/>
  <c r="AK50" i="6"/>
  <c r="AK41" i="6"/>
  <c r="BL96" i="6"/>
  <c r="BM96" i="6" s="1"/>
  <c r="BL118" i="6"/>
  <c r="BM118" i="6" s="1"/>
  <c r="BL106" i="6"/>
  <c r="BM106" i="6" s="1"/>
  <c r="BL102" i="6"/>
  <c r="BM102" i="6" s="1"/>
  <c r="BL97" i="6"/>
  <c r="BM97" i="6" s="1"/>
  <c r="BL119" i="6"/>
  <c r="BM119" i="6" s="1"/>
  <c r="BL100" i="6"/>
  <c r="BM100" i="6" s="1"/>
  <c r="AK49" i="6"/>
  <c r="AK40" i="6"/>
  <c r="AK42" i="6"/>
  <c r="AK58" i="6"/>
  <c r="BO114" i="19" l="1"/>
  <c r="BP114" i="19" s="1"/>
  <c r="BP107" i="19"/>
  <c r="BP110" i="19" s="1"/>
  <c r="P94" i="19" s="1"/>
  <c r="U16" i="19" s="1"/>
  <c r="V16" i="19" s="1"/>
  <c r="BO113" i="19"/>
  <c r="BP113" i="19" s="1"/>
  <c r="BP118" i="19"/>
  <c r="BP120" i="19" s="1"/>
  <c r="P103" i="19" s="1"/>
  <c r="U18" i="19" s="1"/>
  <c r="V18" i="19" s="1"/>
  <c r="BP103" i="19"/>
  <c r="AJ16" i="6"/>
  <c r="AJ69" i="6"/>
  <c r="AJ13" i="6"/>
  <c r="AI15" i="6"/>
  <c r="AJ14" i="6"/>
  <c r="AI51" i="6"/>
  <c r="AJ43" i="6"/>
  <c r="AJ51" i="6"/>
  <c r="AJ50" i="6"/>
  <c r="AI49" i="6"/>
  <c r="AI52" i="6"/>
  <c r="AJ49" i="6"/>
  <c r="AI50" i="6"/>
  <c r="AH50" i="6" s="1"/>
  <c r="AJ52" i="6"/>
  <c r="AJ59" i="6"/>
  <c r="AI60" i="6"/>
  <c r="AJ58" i="6"/>
  <c r="AI61" i="6"/>
  <c r="AI58" i="6"/>
  <c r="AJ42" i="6"/>
  <c r="AJ33" i="6"/>
  <c r="AJ34" i="6"/>
  <c r="AI32" i="6"/>
  <c r="AI23" i="6"/>
  <c r="AI16" i="6"/>
  <c r="AJ15" i="6"/>
  <c r="AI13" i="6"/>
  <c r="AI14" i="6"/>
  <c r="AJ7" i="6"/>
  <c r="AI6" i="6"/>
  <c r="AI5" i="6"/>
  <c r="AJ6" i="6"/>
  <c r="AI7" i="6"/>
  <c r="AI4" i="6"/>
  <c r="AJ5" i="6"/>
  <c r="AJ4" i="6"/>
  <c r="AJ23" i="6"/>
  <c r="AI22" i="6"/>
  <c r="AJ41" i="6"/>
  <c r="AJ40" i="6"/>
  <c r="AJ25" i="6"/>
  <c r="AI24" i="6"/>
  <c r="AI40" i="6"/>
  <c r="AI25" i="6"/>
  <c r="AJ61" i="6"/>
  <c r="AI43" i="6"/>
  <c r="AJ60" i="6"/>
  <c r="AI59" i="6"/>
  <c r="AI42" i="6"/>
  <c r="AJ22" i="6"/>
  <c r="AJ24" i="6"/>
  <c r="AI31" i="6"/>
  <c r="AI41" i="6"/>
  <c r="BM103" i="6"/>
  <c r="BM110" i="6"/>
  <c r="AJ32" i="6"/>
  <c r="AJ31" i="6"/>
  <c r="AI33" i="6"/>
  <c r="AI34" i="6"/>
  <c r="AJ67" i="6"/>
  <c r="AJ68" i="6"/>
  <c r="AI68" i="6"/>
  <c r="AI70" i="6"/>
  <c r="AJ70" i="6"/>
  <c r="AI67" i="6"/>
  <c r="AI69" i="6"/>
  <c r="AH69" i="6" s="1"/>
  <c r="BM120" i="6"/>
  <c r="BP115" i="19" l="1"/>
  <c r="P99" i="19" s="1"/>
  <c r="U17" i="19" s="1"/>
  <c r="V17" i="19" s="1"/>
  <c r="P87" i="19"/>
  <c r="U15" i="19" s="1"/>
  <c r="V15" i="19" s="1"/>
  <c r="AH16" i="6"/>
  <c r="AH13" i="6"/>
  <c r="AH14" i="6"/>
  <c r="AH15" i="6"/>
  <c r="AH43" i="6"/>
  <c r="AH51" i="6"/>
  <c r="AH49" i="6"/>
  <c r="AH34" i="6"/>
  <c r="AH33" i="6"/>
  <c r="AH52" i="6"/>
  <c r="AH61" i="6"/>
  <c r="AH67" i="6"/>
  <c r="AH68" i="6"/>
  <c r="AH59" i="6"/>
  <c r="AH60" i="6"/>
  <c r="AH58" i="6"/>
  <c r="AH41" i="6"/>
  <c r="AH40" i="6"/>
  <c r="AH42" i="6"/>
  <c r="AH31" i="6"/>
  <c r="AH32" i="6"/>
  <c r="AH23" i="6"/>
  <c r="AH24" i="6"/>
  <c r="AH25" i="6"/>
  <c r="AH7" i="6"/>
  <c r="AH5" i="6"/>
  <c r="AH4" i="6"/>
  <c r="AH6" i="6"/>
  <c r="AH22" i="6"/>
  <c r="AH70" i="6"/>
  <c r="AG59" i="6" l="1"/>
  <c r="AG58" i="6"/>
  <c r="AG60" i="6"/>
  <c r="AG61" i="6"/>
  <c r="AG70" i="6"/>
  <c r="AG67" i="6"/>
  <c r="AG68" i="6"/>
  <c r="AG69" i="6"/>
  <c r="AG16" i="6"/>
  <c r="AG13" i="6"/>
  <c r="AG15" i="6"/>
  <c r="AG14" i="6"/>
  <c r="AG50" i="6"/>
  <c r="AG52" i="6"/>
  <c r="AG49" i="6"/>
  <c r="AG51" i="6"/>
  <c r="AG43" i="6"/>
  <c r="AG41" i="6"/>
  <c r="AG42" i="6"/>
  <c r="AG40" i="6"/>
  <c r="AS41" i="6" s="1"/>
  <c r="AG34" i="6"/>
  <c r="AG33" i="6"/>
  <c r="AG31" i="6"/>
  <c r="AG32" i="6"/>
  <c r="AG4" i="6"/>
  <c r="AG7" i="6"/>
  <c r="AG5" i="6"/>
  <c r="AG6" i="6"/>
  <c r="AG23" i="6"/>
  <c r="AG22" i="6"/>
  <c r="AG24" i="6"/>
  <c r="AG25" i="6"/>
  <c r="AS15" i="6" l="1"/>
  <c r="AT15" i="6" s="1"/>
  <c r="AS16" i="6"/>
  <c r="L16" i="6" s="1"/>
  <c r="AS13" i="6"/>
  <c r="AU13" i="6" s="1"/>
  <c r="AS14" i="6"/>
  <c r="AV14" i="6" s="1"/>
  <c r="AS49" i="6"/>
  <c r="L49" i="6" s="1"/>
  <c r="D82" i="6" s="1"/>
  <c r="BM82" i="19" s="1"/>
  <c r="AS51" i="6"/>
  <c r="AV51" i="6" s="1"/>
  <c r="AS50" i="6"/>
  <c r="AV50" i="6" s="1"/>
  <c r="AS67" i="6"/>
  <c r="AU67" i="6" s="1"/>
  <c r="AS52" i="6"/>
  <c r="AW52" i="6" s="1"/>
  <c r="AS31" i="6"/>
  <c r="AV31" i="6" s="1"/>
  <c r="AS58" i="6"/>
  <c r="AT58" i="6" s="1"/>
  <c r="AS69" i="6"/>
  <c r="AT69" i="6" s="1"/>
  <c r="AS70" i="6"/>
  <c r="AW70" i="6" s="1"/>
  <c r="AS68" i="6"/>
  <c r="AV68" i="6" s="1"/>
  <c r="AS61" i="6"/>
  <c r="AU61" i="6" s="1"/>
  <c r="AS59" i="6"/>
  <c r="AU59" i="6" s="1"/>
  <c r="AS60" i="6"/>
  <c r="AW60" i="6" s="1"/>
  <c r="AS43" i="6"/>
  <c r="AT43" i="6" s="1"/>
  <c r="AS40" i="6"/>
  <c r="AW40" i="6" s="1"/>
  <c r="AS42" i="6"/>
  <c r="AT41" i="6"/>
  <c r="AS32" i="6"/>
  <c r="AW32" i="6" s="1"/>
  <c r="AS34" i="6"/>
  <c r="AT34" i="6" s="1"/>
  <c r="AS33" i="6"/>
  <c r="AW33" i="6" s="1"/>
  <c r="AS5" i="6"/>
  <c r="AV5" i="6" s="1"/>
  <c r="AS4" i="6"/>
  <c r="AT4" i="6" s="1"/>
  <c r="AS7" i="6"/>
  <c r="AT7" i="6" s="1"/>
  <c r="AS6" i="6"/>
  <c r="L6" i="6" s="1"/>
  <c r="AS23" i="6"/>
  <c r="AS22" i="6"/>
  <c r="AS25" i="6"/>
  <c r="L25" i="6" s="1"/>
  <c r="AS24" i="6"/>
  <c r="AT16" i="6" l="1"/>
  <c r="AT52" i="6"/>
  <c r="AU51" i="6"/>
  <c r="AW49" i="6"/>
  <c r="P49" i="6" s="1"/>
  <c r="AT49" i="6"/>
  <c r="M49" i="6" s="1"/>
  <c r="AW15" i="6"/>
  <c r="AU15" i="6"/>
  <c r="AV15" i="6"/>
  <c r="AW14" i="6"/>
  <c r="L15" i="6"/>
  <c r="P15" i="6" s="1"/>
  <c r="AV16" i="6"/>
  <c r="O16" i="6" s="1"/>
  <c r="AW16" i="6"/>
  <c r="P16" i="6" s="1"/>
  <c r="AU16" i="6"/>
  <c r="N16" i="6" s="1"/>
  <c r="AT14" i="6"/>
  <c r="AW13" i="6"/>
  <c r="L14" i="6"/>
  <c r="M16" i="6"/>
  <c r="AT13" i="6"/>
  <c r="AV13" i="6"/>
  <c r="L13" i="6"/>
  <c r="AU14" i="6"/>
  <c r="L51" i="6"/>
  <c r="O51" i="6" s="1"/>
  <c r="AU49" i="6"/>
  <c r="N49" i="6" s="1"/>
  <c r="AT51" i="6"/>
  <c r="AW51" i="6"/>
  <c r="AV49" i="6"/>
  <c r="O49" i="6" s="1"/>
  <c r="AU50" i="6"/>
  <c r="AW50" i="6"/>
  <c r="L50" i="6"/>
  <c r="F80" i="6" s="1"/>
  <c r="BM88" i="19" s="1"/>
  <c r="AT50" i="6"/>
  <c r="AU52" i="6"/>
  <c r="L52" i="6"/>
  <c r="P52" i="6" s="1"/>
  <c r="AT67" i="6"/>
  <c r="L67" i="6"/>
  <c r="D83" i="6" s="1"/>
  <c r="BM83" i="19" s="1"/>
  <c r="AV67" i="6"/>
  <c r="AW67" i="6"/>
  <c r="AV52" i="6"/>
  <c r="AW58" i="6"/>
  <c r="L31" i="6"/>
  <c r="AT31" i="6"/>
  <c r="AU31" i="6"/>
  <c r="AW31" i="6"/>
  <c r="AT32" i="6"/>
  <c r="AV43" i="6"/>
  <c r="L58" i="6"/>
  <c r="AV69" i="6"/>
  <c r="AW68" i="6"/>
  <c r="AW61" i="6"/>
  <c r="L69" i="6"/>
  <c r="M69" i="6" s="1"/>
  <c r="AW69" i="6"/>
  <c r="AV58" i="6"/>
  <c r="L61" i="6"/>
  <c r="AU69" i="6"/>
  <c r="AU70" i="6"/>
  <c r="AU58" i="6"/>
  <c r="AT70" i="6"/>
  <c r="L68" i="6"/>
  <c r="F81" i="6" s="1"/>
  <c r="BM89" i="19" s="1"/>
  <c r="AV70" i="6"/>
  <c r="AT68" i="6"/>
  <c r="AU68" i="6"/>
  <c r="L70" i="6"/>
  <c r="AT59" i="6"/>
  <c r="AV61" i="6"/>
  <c r="L59" i="6"/>
  <c r="L60" i="6"/>
  <c r="AV60" i="6"/>
  <c r="AW59" i="6"/>
  <c r="AT60" i="6"/>
  <c r="AT61" i="6"/>
  <c r="AV59" i="6"/>
  <c r="AU60" i="6"/>
  <c r="AV40" i="6"/>
  <c r="L43" i="6"/>
  <c r="AW42" i="6"/>
  <c r="AT40" i="6"/>
  <c r="AW43" i="6"/>
  <c r="AU43" i="6"/>
  <c r="AT42" i="6"/>
  <c r="AU42" i="6"/>
  <c r="AU40" i="6"/>
  <c r="L40" i="6"/>
  <c r="D80" i="6" s="1"/>
  <c r="BM80" i="19" s="1"/>
  <c r="AU41" i="6"/>
  <c r="AW41" i="6"/>
  <c r="AV41" i="6"/>
  <c r="AV42" i="6"/>
  <c r="L41" i="6"/>
  <c r="L42" i="6"/>
  <c r="AU34" i="6"/>
  <c r="AU32" i="6"/>
  <c r="AV32" i="6"/>
  <c r="L32" i="6"/>
  <c r="AW34" i="6"/>
  <c r="L34" i="6"/>
  <c r="AV34" i="6"/>
  <c r="O31" i="6"/>
  <c r="L33" i="6"/>
  <c r="AV33" i="6"/>
  <c r="AT33" i="6"/>
  <c r="AU33" i="6"/>
  <c r="AU4" i="6"/>
  <c r="AW4" i="6"/>
  <c r="L7" i="6"/>
  <c r="AU7" i="6"/>
  <c r="AT6" i="6"/>
  <c r="M6" i="6" s="1"/>
  <c r="AW6" i="6"/>
  <c r="P6" i="6" s="1"/>
  <c r="L5" i="6"/>
  <c r="AT5" i="6"/>
  <c r="AU5" i="6"/>
  <c r="AV7" i="6"/>
  <c r="AW5" i="6"/>
  <c r="AW7" i="6"/>
  <c r="AV6" i="6"/>
  <c r="O6" i="6" s="1"/>
  <c r="AU6" i="6"/>
  <c r="N6" i="6" s="1"/>
  <c r="L4" i="6"/>
  <c r="D77" i="6" s="1"/>
  <c r="BM77" i="19" s="1"/>
  <c r="AV4" i="6"/>
  <c r="AW23" i="6"/>
  <c r="L23" i="6"/>
  <c r="F79" i="6" s="1"/>
  <c r="BM87" i="19" s="1"/>
  <c r="AT23" i="6"/>
  <c r="AU23" i="6"/>
  <c r="AV23" i="6"/>
  <c r="L24" i="6"/>
  <c r="AU24" i="6"/>
  <c r="AV24" i="6"/>
  <c r="AT24" i="6"/>
  <c r="AW24" i="6"/>
  <c r="AT25" i="6"/>
  <c r="AU25" i="6"/>
  <c r="AV25" i="6"/>
  <c r="AW25" i="6"/>
  <c r="AT22" i="6"/>
  <c r="L22" i="6"/>
  <c r="D76" i="6" s="1"/>
  <c r="BM76" i="19" s="1"/>
  <c r="AV22" i="6"/>
  <c r="AW22" i="6"/>
  <c r="AU22" i="6"/>
  <c r="AZ82" i="6"/>
  <c r="BI82" i="6" s="1"/>
  <c r="BK82" i="6" s="1"/>
  <c r="BB80" i="6"/>
  <c r="BI88" i="6" s="1"/>
  <c r="BK88" i="6" s="1"/>
  <c r="P61" i="6" l="1"/>
  <c r="AZ83" i="6"/>
  <c r="BI83" i="6" s="1"/>
  <c r="BK83" i="6" s="1"/>
  <c r="BL83" i="6" s="1"/>
  <c r="BM83" i="6" s="1"/>
  <c r="F83" i="6"/>
  <c r="BM91" i="19" s="1"/>
  <c r="O5" i="6"/>
  <c r="F78" i="6"/>
  <c r="BM86" i="19" s="1"/>
  <c r="M32" i="6"/>
  <c r="F76" i="6"/>
  <c r="BM84" i="19" s="1"/>
  <c r="D79" i="6"/>
  <c r="BM79" i="19" s="1"/>
  <c r="N13" i="6"/>
  <c r="D78" i="6"/>
  <c r="BB76" i="6"/>
  <c r="BI84" i="6" s="1"/>
  <c r="BK84" i="6" s="1"/>
  <c r="BL84" i="6" s="1"/>
  <c r="BM84" i="6" s="1"/>
  <c r="F77" i="6"/>
  <c r="BM85" i="19" s="1"/>
  <c r="M41" i="6"/>
  <c r="F82" i="6"/>
  <c r="BM90" i="19" s="1"/>
  <c r="M58" i="6"/>
  <c r="D81" i="6"/>
  <c r="N43" i="6"/>
  <c r="O15" i="6"/>
  <c r="BM6" i="19"/>
  <c r="N50" i="6"/>
  <c r="M15" i="6"/>
  <c r="N51" i="6"/>
  <c r="P51" i="6"/>
  <c r="M51" i="6"/>
  <c r="M31" i="6"/>
  <c r="N15" i="6"/>
  <c r="M14" i="6"/>
  <c r="P14" i="6"/>
  <c r="O14" i="6"/>
  <c r="P13" i="6"/>
  <c r="M13" i="6"/>
  <c r="N14" i="6"/>
  <c r="O13" i="6"/>
  <c r="N31" i="6"/>
  <c r="P31" i="6"/>
  <c r="M52" i="6"/>
  <c r="O50" i="6"/>
  <c r="P50" i="6"/>
  <c r="M50" i="6"/>
  <c r="O52" i="6"/>
  <c r="P67" i="6"/>
  <c r="N52" i="6"/>
  <c r="P58" i="6"/>
  <c r="N67" i="6"/>
  <c r="O67" i="6"/>
  <c r="M67" i="6"/>
  <c r="N58" i="6"/>
  <c r="O58" i="6"/>
  <c r="M4" i="6"/>
  <c r="BM4" i="19" s="1"/>
  <c r="P43" i="6"/>
  <c r="O43" i="6"/>
  <c r="M43" i="6"/>
  <c r="N61" i="6"/>
  <c r="M61" i="6"/>
  <c r="P68" i="6"/>
  <c r="P69" i="6"/>
  <c r="N69" i="6"/>
  <c r="O69" i="6"/>
  <c r="BB81" i="6"/>
  <c r="BI89" i="6" s="1"/>
  <c r="BK89" i="6" s="1"/>
  <c r="BL89" i="6" s="1"/>
  <c r="BM89" i="6" s="1"/>
  <c r="O61" i="6"/>
  <c r="O68" i="6"/>
  <c r="N70" i="6"/>
  <c r="M59" i="6"/>
  <c r="O60" i="6"/>
  <c r="N59" i="6"/>
  <c r="P70" i="6"/>
  <c r="N68" i="6"/>
  <c r="M68" i="6"/>
  <c r="M70" i="6"/>
  <c r="O70" i="6"/>
  <c r="P60" i="6"/>
  <c r="P59" i="6"/>
  <c r="N60" i="6"/>
  <c r="M60" i="6"/>
  <c r="O59" i="6"/>
  <c r="O42" i="6"/>
  <c r="N41" i="6"/>
  <c r="P41" i="6"/>
  <c r="O41" i="6"/>
  <c r="P42" i="6"/>
  <c r="M42" i="6"/>
  <c r="N42" i="6"/>
  <c r="P40" i="6"/>
  <c r="AZ80" i="6"/>
  <c r="BI80" i="6" s="1"/>
  <c r="BK80" i="6" s="1"/>
  <c r="BL80" i="6" s="1"/>
  <c r="BM80" i="6" s="1"/>
  <c r="O40" i="6"/>
  <c r="M40" i="6"/>
  <c r="N40" i="6"/>
  <c r="N32" i="6"/>
  <c r="M33" i="6"/>
  <c r="O32" i="6"/>
  <c r="P32" i="6"/>
  <c r="P34" i="6"/>
  <c r="O34" i="6"/>
  <c r="N34" i="6"/>
  <c r="M34" i="6"/>
  <c r="O33" i="6"/>
  <c r="P33" i="6"/>
  <c r="N33" i="6"/>
  <c r="N7" i="6"/>
  <c r="M7" i="6"/>
  <c r="O7" i="6"/>
  <c r="N5" i="6"/>
  <c r="P7" i="6"/>
  <c r="M5" i="6"/>
  <c r="P5" i="6"/>
  <c r="N4" i="6"/>
  <c r="P4" i="6"/>
  <c r="O4" i="6"/>
  <c r="AZ76" i="6"/>
  <c r="BI76" i="6" s="1"/>
  <c r="BK76" i="6" s="1"/>
  <c r="BL76" i="6" s="1"/>
  <c r="BM76" i="6" s="1"/>
  <c r="N24" i="6"/>
  <c r="P24" i="6"/>
  <c r="M24" i="6"/>
  <c r="O24" i="6"/>
  <c r="BB79" i="6"/>
  <c r="BI87" i="6" s="1"/>
  <c r="BK87" i="6" s="1"/>
  <c r="O23" i="6"/>
  <c r="M23" i="6"/>
  <c r="N23" i="6"/>
  <c r="P23" i="6"/>
  <c r="O25" i="6"/>
  <c r="P25" i="6"/>
  <c r="N25" i="6"/>
  <c r="M25" i="6"/>
  <c r="M22" i="6"/>
  <c r="AZ77" i="6"/>
  <c r="BI77" i="6" s="1"/>
  <c r="BK77" i="6" s="1"/>
  <c r="BL77" i="6" s="1"/>
  <c r="BM77" i="6" s="1"/>
  <c r="P22" i="6"/>
  <c r="O22" i="6"/>
  <c r="N22" i="6"/>
  <c r="BL82" i="6"/>
  <c r="BM82" i="6" s="1"/>
  <c r="BL88" i="6"/>
  <c r="BM88" i="6" s="1"/>
  <c r="BB78" i="6" l="1"/>
  <c r="BI86" i="6" s="1"/>
  <c r="BK86" i="6" s="1"/>
  <c r="BL86" i="6" s="1"/>
  <c r="BM86" i="6" s="1"/>
  <c r="BB82" i="6"/>
  <c r="BI90" i="6" s="1"/>
  <c r="BK90" i="6" s="1"/>
  <c r="BL90" i="6" s="1"/>
  <c r="BM90" i="6" s="1"/>
  <c r="BB77" i="6"/>
  <c r="BI85" i="6" s="1"/>
  <c r="BK85" i="6" s="1"/>
  <c r="BL85" i="6" s="1"/>
  <c r="BM85" i="6" s="1"/>
  <c r="BM81" i="19"/>
  <c r="AZ81" i="6"/>
  <c r="BI81" i="6" s="1"/>
  <c r="BK81" i="6" s="1"/>
  <c r="BL81" i="6" s="1"/>
  <c r="BM81" i="6" s="1"/>
  <c r="AZ79" i="6"/>
  <c r="BI79" i="6" s="1"/>
  <c r="BK79" i="6" s="1"/>
  <c r="BL79" i="6" s="1"/>
  <c r="BM79" i="6" s="1"/>
  <c r="BM78" i="19"/>
  <c r="AZ78" i="6"/>
  <c r="BI78" i="6" s="1"/>
  <c r="BK78" i="6" s="1"/>
  <c r="BL78" i="6" s="1"/>
  <c r="BM78" i="6" s="1"/>
  <c r="BB83" i="6"/>
  <c r="BI91" i="6" s="1"/>
  <c r="BK91" i="6" s="1"/>
  <c r="BL91" i="6" s="1"/>
  <c r="BM91" i="6" s="1"/>
  <c r="BM5" i="19"/>
  <c r="BL87" i="6"/>
  <c r="BM87" i="6" s="1"/>
  <c r="BM92" i="6" l="1"/>
  <c r="BN87" i="19"/>
  <c r="BO87" i="19" s="1"/>
  <c r="BP87" i="19" s="1"/>
  <c r="BN84" i="19"/>
  <c r="BO84" i="19" s="1"/>
  <c r="BP84" i="19" s="1"/>
  <c r="BN83" i="19"/>
  <c r="BO83" i="19" s="1"/>
  <c r="BP83" i="19" s="1"/>
  <c r="BN86" i="19"/>
  <c r="BO86" i="19" s="1"/>
  <c r="BP86" i="19" s="1"/>
  <c r="BN78" i="19"/>
  <c r="BO78" i="19" s="1"/>
  <c r="BP78" i="19" s="1"/>
  <c r="BN88" i="19"/>
  <c r="BO88" i="19" s="1"/>
  <c r="BP88" i="19" s="1"/>
  <c r="BN76" i="19"/>
  <c r="BO76" i="19" s="1"/>
  <c r="BP76" i="19" s="1"/>
  <c r="BN79" i="19"/>
  <c r="BN89" i="19"/>
  <c r="BO89" i="19" s="1"/>
  <c r="BP89" i="19" s="1"/>
  <c r="BN91" i="19"/>
  <c r="BO91" i="19" s="1"/>
  <c r="BP91" i="19" s="1"/>
  <c r="BN77" i="19"/>
  <c r="BO77" i="19" s="1"/>
  <c r="BP77" i="19" s="1"/>
  <c r="BN81" i="19"/>
  <c r="BO81" i="19" s="1"/>
  <c r="BP81" i="19" s="1"/>
  <c r="BN85" i="19"/>
  <c r="BO85" i="19" s="1"/>
  <c r="BP85" i="19" s="1"/>
  <c r="BN82" i="19"/>
  <c r="BO82" i="19" s="1"/>
  <c r="BP82" i="19" s="1"/>
  <c r="BO79" i="19" l="1"/>
  <c r="BP79" i="19" s="1"/>
  <c r="AQ41" i="19"/>
  <c r="AP41" i="19"/>
  <c r="AO41" i="19"/>
  <c r="AM43" i="19" s="1"/>
  <c r="AR41" i="19" l="1"/>
  <c r="AL43" i="19" s="1"/>
  <c r="AL40" i="19"/>
  <c r="AM41" i="19"/>
  <c r="AK42" i="19"/>
  <c r="AM42" i="19"/>
  <c r="AL42" i="19"/>
  <c r="AM40" i="19"/>
  <c r="AK40" i="19" l="1"/>
  <c r="AK43" i="19"/>
  <c r="AJ43" i="19" s="1"/>
  <c r="AI43" i="19" s="1"/>
  <c r="AK41" i="19"/>
  <c r="AJ41" i="19" s="1"/>
  <c r="AI41" i="19" s="1"/>
  <c r="AL41" i="19"/>
  <c r="AJ42" i="19"/>
  <c r="AJ40" i="19"/>
  <c r="AI40" i="19" l="1"/>
  <c r="AU41" i="19"/>
  <c r="M41" i="19" s="1"/>
  <c r="AU40" i="19"/>
  <c r="M40" i="19" s="1"/>
  <c r="D80" i="19" s="1"/>
  <c r="N80" i="19" s="1"/>
  <c r="AI42" i="19"/>
  <c r="AU42" i="19" s="1"/>
  <c r="M42" i="19" s="1"/>
  <c r="BB80" i="19" l="1"/>
  <c r="BL80" i="19" s="1"/>
  <c r="BN80" i="19" s="1"/>
  <c r="BO80" i="19" s="1"/>
  <c r="BP80" i="19" s="1"/>
  <c r="AU43" i="19"/>
  <c r="M43" i="19" s="1"/>
  <c r="AW42" i="19"/>
  <c r="O42" i="19" s="1"/>
  <c r="AY42" i="19"/>
  <c r="Q42" i="19" s="1"/>
  <c r="AX42" i="19"/>
  <c r="AV42" i="19"/>
  <c r="N42" i="19" s="1"/>
  <c r="AX40" i="19"/>
  <c r="P40" i="19" s="1"/>
  <c r="AW40" i="19"/>
  <c r="O40" i="19" s="1"/>
  <c r="P42" i="19"/>
  <c r="AV40" i="19"/>
  <c r="N40" i="19" s="1"/>
  <c r="AY40" i="19"/>
  <c r="Q40" i="19" s="1"/>
  <c r="AW41" i="19"/>
  <c r="AV41" i="19"/>
  <c r="AY41" i="19"/>
  <c r="AX41" i="19"/>
  <c r="AX43" i="19"/>
  <c r="P43" i="19" s="1"/>
  <c r="AY43" i="19"/>
  <c r="Q43" i="19" s="1"/>
  <c r="AW43" i="19" l="1"/>
  <c r="O43" i="19" s="1"/>
  <c r="AV43" i="19"/>
  <c r="N43" i="19" s="1"/>
  <c r="Q41" i="19"/>
  <c r="F82" i="19"/>
  <c r="N82" i="19" s="1"/>
  <c r="P41" i="19"/>
  <c r="O41" i="19"/>
  <c r="N41" i="19"/>
  <c r="BD82" i="19" l="1"/>
  <c r="BL90" i="19" s="1"/>
  <c r="BN90" i="19" s="1"/>
  <c r="BO90" i="19" l="1"/>
  <c r="BP90" i="19" s="1"/>
  <c r="BP92" i="19" l="1"/>
  <c r="P76" i="19" s="1"/>
  <c r="U14" i="19" s="1"/>
  <c r="V14" i="19" s="1"/>
  <c r="V20" i="19" s="1"/>
  <c r="BR4" i="6" s="1"/>
</calcChain>
</file>

<file path=xl/sharedStrings.xml><?xml version="1.0" encoding="utf-8"?>
<sst xmlns="http://schemas.openxmlformats.org/spreadsheetml/2006/main" count="2052" uniqueCount="198">
  <si>
    <t>Grupp A</t>
  </si>
  <si>
    <t>Åttondelsfinaler</t>
  </si>
  <si>
    <t>Match</t>
  </si>
  <si>
    <t>Datum</t>
  </si>
  <si>
    <t>Resultat</t>
  </si>
  <si>
    <t>Brasilien</t>
  </si>
  <si>
    <t>-</t>
  </si>
  <si>
    <t>Kroatien</t>
  </si>
  <si>
    <t>Vinnare grupp A</t>
  </si>
  <si>
    <t>Tvåa grupp B</t>
  </si>
  <si>
    <t>Mexiko</t>
  </si>
  <si>
    <t>Kamerun</t>
  </si>
  <si>
    <t>Vinnare grupp C</t>
  </si>
  <si>
    <t>Tvåa grupp D</t>
  </si>
  <si>
    <t>Vinnare grupp B</t>
  </si>
  <si>
    <t>Tvåa grupp A</t>
  </si>
  <si>
    <t>Vinnare grupp D</t>
  </si>
  <si>
    <t>Tvåa grupp C</t>
  </si>
  <si>
    <t>Vinnare grupp E</t>
  </si>
  <si>
    <t>Tvåa grupp F</t>
  </si>
  <si>
    <t>Vinnare grupp G</t>
  </si>
  <si>
    <t>Tvåa grupp H</t>
  </si>
  <si>
    <t>Vinnare grupp F</t>
  </si>
  <si>
    <t>Tvåa grupp E</t>
  </si>
  <si>
    <t>Grupp B</t>
  </si>
  <si>
    <t>Vinnare grupp H</t>
  </si>
  <si>
    <t>Tvåa grupp G</t>
  </si>
  <si>
    <t>Spanien</t>
  </si>
  <si>
    <t>Holland</t>
  </si>
  <si>
    <t>Kvartsfinaler</t>
  </si>
  <si>
    <t>Chile</t>
  </si>
  <si>
    <t>Australien</t>
  </si>
  <si>
    <t>Vinnare match 49</t>
  </si>
  <si>
    <t>Vinnare match 50</t>
  </si>
  <si>
    <t>Vinnare match 53</t>
  </si>
  <si>
    <t>Vinnare match 54</t>
  </si>
  <si>
    <t>Vinnare match 51</t>
  </si>
  <si>
    <t>Vinnare match 52</t>
  </si>
  <si>
    <t>Vinnare match 55</t>
  </si>
  <si>
    <t>Vinnare match 56</t>
  </si>
  <si>
    <t>Grupp C</t>
  </si>
  <si>
    <t>Semifinaler</t>
  </si>
  <si>
    <t>Colombia</t>
  </si>
  <si>
    <t>Grekland</t>
  </si>
  <si>
    <t>Vinnare match 57</t>
  </si>
  <si>
    <t>Vinnare match 58</t>
  </si>
  <si>
    <t>Elfenbenskusten</t>
  </si>
  <si>
    <t>Japan</t>
  </si>
  <si>
    <t>Vinnare match 59</t>
  </si>
  <si>
    <t>Vinnare match 60</t>
  </si>
  <si>
    <t>Bronsmatch</t>
  </si>
  <si>
    <t>Förlorare match 61</t>
  </si>
  <si>
    <t>Förlorare match 62</t>
  </si>
  <si>
    <t>Grupp D</t>
  </si>
  <si>
    <t>Final</t>
  </si>
  <si>
    <t>Uruguay</t>
  </si>
  <si>
    <t>Costa Rica</t>
  </si>
  <si>
    <t>Vinnare match 61</t>
  </si>
  <si>
    <t>Vinnare match 62</t>
  </si>
  <si>
    <t>England</t>
  </si>
  <si>
    <t>Italien</t>
  </si>
  <si>
    <t>Grupp E</t>
  </si>
  <si>
    <t>Schweiz</t>
  </si>
  <si>
    <t>Ecuador</t>
  </si>
  <si>
    <t>Frankrike</t>
  </si>
  <si>
    <t>Honduras</t>
  </si>
  <si>
    <t>Grupp F</t>
  </si>
  <si>
    <t>Argentina</t>
  </si>
  <si>
    <t>Bosnien</t>
  </si>
  <si>
    <t>Iran</t>
  </si>
  <si>
    <t>Nigeria</t>
  </si>
  <si>
    <t>Grupp G</t>
  </si>
  <si>
    <t>Tyskland</t>
  </si>
  <si>
    <t>Portugal</t>
  </si>
  <si>
    <t>Ghana</t>
  </si>
  <si>
    <t>USA</t>
  </si>
  <si>
    <t>Grupp H</t>
  </si>
  <si>
    <t>Belgien</t>
  </si>
  <si>
    <t>Algeriet</t>
  </si>
  <si>
    <t>Ryssland</t>
  </si>
  <si>
    <t>Sydkorea</t>
  </si>
  <si>
    <t>Tecken</t>
  </si>
  <si>
    <t>Bonusfrågor</t>
  </si>
  <si>
    <t>Kategori</t>
  </si>
  <si>
    <t>Skyttekung</t>
  </si>
  <si>
    <t>Hur många mål görs i turneringen?</t>
  </si>
  <si>
    <t>Antal eller spelare</t>
  </si>
  <si>
    <t>Lag 1</t>
  </si>
  <si>
    <t>Lag 2</t>
  </si>
  <si>
    <t>Poäng</t>
  </si>
  <si>
    <t>GM</t>
  </si>
  <si>
    <t>IM</t>
  </si>
  <si>
    <t>Lag</t>
  </si>
  <si>
    <t>Diff</t>
  </si>
  <si>
    <t>Rank</t>
  </si>
  <si>
    <t>Rank Poäng</t>
  </si>
  <si>
    <t>Rank Diff</t>
  </si>
  <si>
    <t>Rank mål</t>
  </si>
  <si>
    <t>Rank total</t>
  </si>
  <si>
    <t>Rank ties</t>
  </si>
  <si>
    <t>Förlorare</t>
  </si>
  <si>
    <t xml:space="preserve"> +/-</t>
  </si>
  <si>
    <t>Bonus</t>
  </si>
  <si>
    <t>Resultat &amp; tabell</t>
  </si>
  <si>
    <t>Mitt tips</t>
  </si>
  <si>
    <t>Utfall</t>
  </si>
  <si>
    <t>Utfall likare</t>
  </si>
  <si>
    <t>SUMMA</t>
  </si>
  <si>
    <t>Gruppspel</t>
  </si>
  <si>
    <t>Totalpoäng</t>
  </si>
  <si>
    <t>Summa</t>
  </si>
  <si>
    <t>Totalt</t>
  </si>
  <si>
    <t>Namn</t>
  </si>
  <si>
    <t>Placering</t>
  </si>
  <si>
    <t>Poängräkning</t>
  </si>
  <si>
    <t>Rätt antal mål per lag</t>
  </si>
  <si>
    <t>2 poäng</t>
  </si>
  <si>
    <t>Rätt tecken (1X2)</t>
  </si>
  <si>
    <t>Samtliga matcher</t>
  </si>
  <si>
    <t>Rätt lag i kvartsfinal</t>
  </si>
  <si>
    <t>Rätt lag i semifinal</t>
  </si>
  <si>
    <t>Rätt lag i final</t>
  </si>
  <si>
    <t>Världsmästare</t>
  </si>
  <si>
    <t>Vinnare semifinal</t>
  </si>
  <si>
    <t>Vinnare kvartsfinal</t>
  </si>
  <si>
    <t>Vinnare åttondelsfinal</t>
  </si>
  <si>
    <t>Rätt lag i åttondelsfinal</t>
  </si>
  <si>
    <t>Land eller spelare</t>
  </si>
  <si>
    <t>Prediction</t>
  </si>
  <si>
    <t>2 poäng per lag</t>
  </si>
  <si>
    <t>4 poäng per lag</t>
  </si>
  <si>
    <t>6 poäng per lag</t>
  </si>
  <si>
    <t>8 poäng per lag</t>
  </si>
  <si>
    <t>Åttondelsfinal</t>
  </si>
  <si>
    <t>Semifinal</t>
  </si>
  <si>
    <t>20 poäng</t>
  </si>
  <si>
    <t>Addera tips</t>
  </si>
  <si>
    <t>Addera tippare i tabellen</t>
  </si>
  <si>
    <t>Välj den flik med spelarens namn, klicka en gång i cell V20 och tryck Enter</t>
  </si>
  <si>
    <t>Rättning</t>
  </si>
  <si>
    <t>Instruktioner</t>
  </si>
  <si>
    <t>Högerklicka på den nya fliken, välj "rename"och skriv in tipparens namn</t>
  </si>
  <si>
    <t>Du kan addera så många spelare du önskar</t>
  </si>
  <si>
    <t>Siffran 0 dyker nu upp i cellen bredvid spelarens namn</t>
  </si>
  <si>
    <t>Poäng för lag i åttondelsfinal</t>
  </si>
  <si>
    <t>Poäng för lag i kvartsfinal</t>
  </si>
  <si>
    <t>Poäng för lag i semifinal</t>
  </si>
  <si>
    <t>Poäng för lag i bronsmatch</t>
  </si>
  <si>
    <t>Poäng för lag i final</t>
  </si>
  <si>
    <t>Det finstilta</t>
  </si>
  <si>
    <t xml:space="preserve">Du måste fylla i varje deltagares tips under en separat flik i denna filen. </t>
  </si>
  <si>
    <t xml:space="preserve">Detta eftersom det finns formler kopplade i alla flikar, vilka styrs från "Resultat &amp; tabell". </t>
  </si>
  <si>
    <t>Tyvärr lite manuellt arbete, men det går relativt snabbt och behövs enbart göras i</t>
  </si>
  <si>
    <t>Rätt lag i bronsmatch</t>
  </si>
  <si>
    <t>Assistkung</t>
  </si>
  <si>
    <t>Välj fliken "Resultat &amp; tabell" och skriv in tipparens namn i kolumnen "Namn" i tabellen</t>
  </si>
  <si>
    <t>Tryck sedan i motsvarande cell i kolumn "Poäng" (exempelvis cell BR5) och skriv =</t>
  </si>
  <si>
    <t>innan tipstävlingen drar igång</t>
  </si>
  <si>
    <t>Bra att veta!</t>
  </si>
  <si>
    <t xml:space="preserve">Tänk även på att bestämma i förväg om slutresultatet är efter 90 minuter, ev förlängning eller straffar </t>
  </si>
  <si>
    <t>Sortera sedan tabellen i fallande ordning i cellen "Poäng" under "Resultat &amp; tabell" och voila!</t>
  </si>
  <si>
    <t>Vinnare bronsmatch</t>
  </si>
  <si>
    <t>Vinnare final</t>
  </si>
  <si>
    <t>10 poäng</t>
  </si>
  <si>
    <t>Saudiarabien</t>
  </si>
  <si>
    <t>Egypten</t>
  </si>
  <si>
    <t>Marocko</t>
  </si>
  <si>
    <t>Peru</t>
  </si>
  <si>
    <t>Danmark</t>
  </si>
  <si>
    <t>Island</t>
  </si>
  <si>
    <t>Serbien</t>
  </si>
  <si>
    <t>Mexico</t>
  </si>
  <si>
    <t>Sverige</t>
  </si>
  <si>
    <t>Panama</t>
  </si>
  <si>
    <t>Tunisien</t>
  </si>
  <si>
    <t>Polen</t>
  </si>
  <si>
    <t>Senegal</t>
  </si>
  <si>
    <t>50 poäng</t>
  </si>
  <si>
    <t xml:space="preserve">I åttondelsfinalerna och framåt  är det möjligt att tippa ett annat lag vidare än vad resultatet visar. </t>
  </si>
  <si>
    <t xml:space="preserve">Tex om Sverige möter Brasilien och du tippar resultatet 1-2 kan du ändå ange Sverige som vinnare. </t>
  </si>
  <si>
    <t xml:space="preserve">Gör du så visas "EJ OK" vid den matchen som indikerar att resultat och vinnare inte stämmer. </t>
  </si>
  <si>
    <t>(20+20+10)</t>
  </si>
  <si>
    <t>Fyll i de gula cellerna så uppdateras respektive spelares flik med poäng</t>
  </si>
  <si>
    <t>Bonuspoäng</t>
  </si>
  <si>
    <t xml:space="preserve">Bonuspoäng delas ut när alla gruppsspelsmatcher är spelade. Samma gäller åttondelsfinal, kvartsfinal etc. </t>
  </si>
  <si>
    <t xml:space="preserve">Det är helt upp till Dig som tipsgeneral att välja om Du vill godkänna detta eller inte. </t>
  </si>
  <si>
    <t>3 poäng</t>
  </si>
  <si>
    <t>7 poäng kan delas ut i samtliga matcher</t>
  </si>
  <si>
    <t>618 poäng</t>
  </si>
  <si>
    <t>(7+16)</t>
  </si>
  <si>
    <t>23 poäng</t>
  </si>
  <si>
    <t>(14+24)</t>
  </si>
  <si>
    <t>38 poäng</t>
  </si>
  <si>
    <t>60 poäng</t>
  </si>
  <si>
    <t>(28+32)</t>
  </si>
  <si>
    <t>(56+32)</t>
  </si>
  <si>
    <t>88 poäng</t>
  </si>
  <si>
    <t>336 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</si>
</sst>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dd/mmm;@"/>
  </numFmts>
  <fonts count="18" x14ac:knownFonts="1">
    <font>
      <sz val="11"/>
      <color theme="1"/>
      <name val="Calibri"/>
      <family val="2"/>
      <scheme val="minor"/>
    </font>
    <font>
      <b/>
      <sz val="10"/>
      <color rgb="FF0A0A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333333"/>
      <name val="Trebuchet M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.75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79998168889431442"/>
      </left>
      <right/>
      <top style="thin">
        <color theme="3" tint="0.59999389629810485"/>
      </top>
      <bottom/>
      <diagonal/>
    </border>
    <border>
      <left/>
      <right style="thin">
        <color theme="3" tint="0.79998168889431442"/>
      </right>
      <top style="thin">
        <color theme="3" tint="0.59999389629810485"/>
      </top>
      <bottom/>
      <diagonal/>
    </border>
    <border>
      <left style="thin">
        <color theme="3" tint="0.79998168889431442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79998168889431442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79998168889431442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79998168889431442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79998168889431442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7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4" fillId="2" borderId="0" xfId="0" applyNumberFormat="1" applyFont="1" applyFill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164" fontId="3" fillId="2" borderId="0" xfId="0" applyNumberFormat="1" applyFont="1" applyFill="1" applyAlignment="1" applyProtection="1">
      <alignment horizontal="left" vertical="center"/>
      <protection hidden="1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4" fontId="8" fillId="2" borderId="0" xfId="0" applyNumberFormat="1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7" fillId="2" borderId="8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/>
    <xf numFmtId="0" fontId="14" fillId="2" borderId="0" xfId="0" applyFont="1" applyFill="1"/>
    <xf numFmtId="0" fontId="16" fillId="3" borderId="2" xfId="0" applyFont="1" applyFill="1" applyBorder="1" applyAlignment="1" applyProtection="1">
      <alignment vertical="center"/>
      <protection hidden="1"/>
    </xf>
    <xf numFmtId="0" fontId="17" fillId="3" borderId="9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>
      <alignment horizontal="left"/>
    </xf>
    <xf numFmtId="1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3" fillId="5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7" fillId="3" borderId="11" xfId="0" applyFont="1" applyFill="1" applyBorder="1" applyAlignment="1" applyProtection="1">
      <alignment horizontal="left" vertical="center"/>
      <protection hidden="1"/>
    </xf>
    <xf numFmtId="0" fontId="7" fillId="3" borderId="10" xfId="0" applyFont="1" applyFill="1" applyBorder="1" applyAlignment="1" applyProtection="1">
      <alignment horizontal="left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16" fontId="3" fillId="2" borderId="8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 indent="2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 indent="2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left" vertical="center"/>
      <protection hidden="1"/>
    </xf>
    <xf numFmtId="16" fontId="8" fillId="2" borderId="8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8" fillId="2" borderId="0" xfId="0" applyNumberFormat="1" applyFont="1" applyFill="1" applyAlignment="1" applyProtection="1">
      <alignment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2" borderId="8" xfId="0" applyNumberFormat="1" applyFont="1" applyFill="1" applyBorder="1" applyAlignment="1" applyProtection="1">
      <alignment horizontal="center" vertical="center"/>
      <protection hidden="1"/>
    </xf>
    <xf numFmtId="164" fontId="3" fillId="2" borderId="8" xfId="0" applyNumberFormat="1" applyFont="1" applyFill="1" applyBorder="1" applyAlignment="1" applyProtection="1">
      <alignment horizontal="left" vertical="center"/>
      <protection hidden="1"/>
    </xf>
    <xf numFmtId="164" fontId="8" fillId="2" borderId="8" xfId="0" applyNumberFormat="1" applyFont="1" applyFill="1" applyBorder="1" applyAlignment="1" applyProtection="1">
      <alignment horizontal="left" vertical="center"/>
      <protection hidden="1"/>
    </xf>
    <xf numFmtId="49" fontId="3" fillId="4" borderId="4" xfId="0" applyNumberFormat="1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indent="2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164" fontId="8" fillId="2" borderId="4" xfId="0" applyNumberFormat="1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15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7" fillId="2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" fillId="3" borderId="22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left" vertical="center"/>
      <protection hidden="1"/>
    </xf>
    <xf numFmtId="0" fontId="7" fillId="3" borderId="22" xfId="0" applyFont="1" applyFill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164" fontId="8" fillId="2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164" fontId="7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164" fontId="3" fillId="2" borderId="4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164" fontId="3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left" vertical="center"/>
      <protection hidden="1"/>
    </xf>
    <xf numFmtId="164" fontId="8" fillId="2" borderId="1" xfId="0" applyNumberFormat="1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Border="1" applyAlignment="1" applyProtection="1">
      <alignment vertical="center"/>
      <protection hidden="1"/>
    </xf>
    <xf numFmtId="164" fontId="8" fillId="2" borderId="0" xfId="0" applyNumberFormat="1" applyFont="1" applyFill="1" applyBorder="1" applyAlignment="1" applyProtection="1">
      <alignment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164" fontId="3" fillId="2" borderId="20" xfId="0" applyNumberFormat="1" applyFont="1" applyFill="1" applyBorder="1" applyAlignment="1" applyProtection="1">
      <alignment horizontal="left" vertical="center"/>
      <protection hidden="1"/>
    </xf>
    <xf numFmtId="0" fontId="8" fillId="2" borderId="22" xfId="0" applyFont="1" applyFill="1" applyBorder="1" applyAlignment="1" applyProtection="1">
      <alignment horizontal="left" vertical="center"/>
      <protection hidden="1"/>
    </xf>
    <xf numFmtId="164" fontId="8" fillId="2" borderId="20" xfId="0" applyNumberFormat="1" applyFont="1" applyFill="1" applyBorder="1" applyAlignment="1" applyProtection="1">
      <alignment horizontal="left" vertical="center"/>
      <protection hidden="1"/>
    </xf>
    <xf numFmtId="164" fontId="7" fillId="2" borderId="0" xfId="0" applyNumberFormat="1" applyFont="1" applyFill="1" applyBorder="1" applyAlignment="1" applyProtection="1">
      <alignment horizontal="left" vertical="center"/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3" fillId="5" borderId="9" xfId="0" applyNumberFormat="1" applyFont="1" applyFill="1" applyBorder="1" applyAlignment="1" applyProtection="1">
      <alignment horizontal="center" vertical="center"/>
      <protection locked="0"/>
    </xf>
    <xf numFmtId="49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49" fontId="8" fillId="5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7" fillId="6" borderId="2" xfId="0" applyNumberFormat="1" applyFont="1" applyFill="1" applyBorder="1" applyAlignment="1" applyProtection="1">
      <alignment horizontal="center" vertical="center"/>
      <protection hidden="1"/>
    </xf>
    <xf numFmtId="0" fontId="7" fillId="6" borderId="3" xfId="0" applyNumberFormat="1" applyFont="1" applyFill="1" applyBorder="1" applyAlignment="1" applyProtection="1">
      <alignment horizontal="center" vertical="center"/>
      <protection hidden="1"/>
    </xf>
    <xf numFmtId="0" fontId="7" fillId="6" borderId="9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A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fotbollsvmem.se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21" Type="http://schemas.openxmlformats.org/officeDocument/2006/relationships/image" Target="../media/image23.png"/><Relationship Id="rId34" Type="http://schemas.openxmlformats.org/officeDocument/2006/relationships/image" Target="../media/image36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png"/><Relationship Id="rId33" Type="http://schemas.openxmlformats.org/officeDocument/2006/relationships/image" Target="../media/image35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31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32" Type="http://schemas.openxmlformats.org/officeDocument/2006/relationships/image" Target="../media/image34.png"/><Relationship Id="rId37" Type="http://schemas.openxmlformats.org/officeDocument/2006/relationships/image" Target="../media/image38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image" Target="../media/image30.png"/><Relationship Id="rId36" Type="http://schemas.openxmlformats.org/officeDocument/2006/relationships/hyperlink" Target="http://www.fifa.com/worldcup/" TargetMode="External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31" Type="http://schemas.openxmlformats.org/officeDocument/2006/relationships/image" Target="../media/image33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29.png"/><Relationship Id="rId30" Type="http://schemas.openxmlformats.org/officeDocument/2006/relationships/image" Target="../media/image32.png"/><Relationship Id="rId35" Type="http://schemas.openxmlformats.org/officeDocument/2006/relationships/image" Target="../media/image37.png"/><Relationship Id="rId8" Type="http://schemas.openxmlformats.org/officeDocument/2006/relationships/image" Target="../media/image10.png"/><Relationship Id="rId3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7.png"/><Relationship Id="rId21" Type="http://schemas.openxmlformats.org/officeDocument/2006/relationships/image" Target="../media/image43.png"/><Relationship Id="rId34" Type="http://schemas.openxmlformats.org/officeDocument/2006/relationships/image" Target="../media/image3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8.png"/><Relationship Id="rId2" Type="http://schemas.openxmlformats.org/officeDocument/2006/relationships/image" Target="../media/image39.png"/><Relationship Id="rId16" Type="http://schemas.openxmlformats.org/officeDocument/2006/relationships/image" Target="../media/image18.png"/><Relationship Id="rId20" Type="http://schemas.openxmlformats.org/officeDocument/2006/relationships/image" Target="../media/image42.png"/><Relationship Id="rId29" Type="http://schemas.openxmlformats.org/officeDocument/2006/relationships/image" Target="../media/image30.png"/><Relationship Id="rId1" Type="http://schemas.openxmlformats.org/officeDocument/2006/relationships/image" Target="../media/image6.png"/><Relationship Id="rId6" Type="http://schemas.openxmlformats.org/officeDocument/2006/relationships/image" Target="../media/image41.png"/><Relationship Id="rId11" Type="http://schemas.openxmlformats.org/officeDocument/2006/relationships/image" Target="../media/image13.png"/><Relationship Id="rId24" Type="http://schemas.openxmlformats.org/officeDocument/2006/relationships/image" Target="../media/image46.png"/><Relationship Id="rId32" Type="http://schemas.openxmlformats.org/officeDocument/2006/relationships/image" Target="../media/image33.png"/><Relationship Id="rId37" Type="http://schemas.openxmlformats.org/officeDocument/2006/relationships/hyperlink" Target="http://www.fifa.com/worldcup/" TargetMode="External"/><Relationship Id="rId5" Type="http://schemas.openxmlformats.org/officeDocument/2006/relationships/image" Target="../media/image8.png"/><Relationship Id="rId15" Type="http://schemas.openxmlformats.org/officeDocument/2006/relationships/image" Target="../media/image17.png"/><Relationship Id="rId23" Type="http://schemas.openxmlformats.org/officeDocument/2006/relationships/image" Target="../media/image45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31" Type="http://schemas.openxmlformats.org/officeDocument/2006/relationships/image" Target="../media/image32.png"/><Relationship Id="rId4" Type="http://schemas.openxmlformats.org/officeDocument/2006/relationships/image" Target="../media/image40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44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8" Type="http://schemas.openxmlformats.org/officeDocument/2006/relationships/image" Target="../media/image10.png"/><Relationship Id="rId3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47626</xdr:colOff>
      <xdr:row>1</xdr:row>
      <xdr:rowOff>209549</xdr:rowOff>
    </xdr:from>
    <xdr:to>
      <xdr:col>7</xdr:col>
      <xdr:colOff>123826</xdr:colOff>
      <xdr:row>5</xdr:row>
      <xdr:rowOff>57149</xdr:rowOff>
    </xdr:to>
    <xdr:pic macro="[0]!Macro3">
      <xdr:nvPicPr>
        <xdr:cNvPr id="6" name="Picture 5" descr="C:\Users\Sebastian\AppData\Local\Microsoft\Windows\Temporary Internet Files\Content.IE5\NXED2NLZ\MC900432552[1]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1" y="400049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174189</xdr:colOff>
      <xdr:row>2</xdr:row>
      <xdr:rowOff>104775</xdr:rowOff>
    </xdr:from>
    <xdr:to>
      <xdr:col>25</xdr:col>
      <xdr:colOff>87504</xdr:colOff>
      <xdr:row>33</xdr:row>
      <xdr:rowOff>123825</xdr:rowOff>
    </xdr:to>
    <xdr:pic>
      <xdr:nvPicPr>
        <xdr:cNvPr id="9" name="Pictur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964" y="561975"/>
          <a:ext cx="6009315" cy="592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285752</xdr:colOff>
      <xdr:row>5</xdr:row>
      <xdr:rowOff>23810</xdr:rowOff>
    </xdr:from>
    <xdr:to>
      <xdr:col>66</xdr:col>
      <xdr:colOff>429752</xdr:colOff>
      <xdr:row>5</xdr:row>
      <xdr:rowOff>167810</xdr:rowOff>
    </xdr:to>
    <xdr:pic>
      <xdr:nvPicPr>
        <xdr:cNvPr id="127" name="Picture 126" descr="C:\Users\Sebastian\AppData\Local\Microsoft\Windows\Temporary Internet Files\Content.IE5\7BQH722P\Bronze_medal_icon.svg[1].png">
          <a:extLst>
            <a:ext uri="{FF2B5EF4-FFF2-40B4-BE49-F238E27FC236}">
              <a16:creationId xmlns:a16="http://schemas.microsoft.com/office/drawing/2014/main" xmlns="" id="{9C4C98B8-7273-4C62-B572-8F912A99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7" y="909635"/>
          <a:ext cx="144000" cy="144000"/>
        </a:xfrm>
        <a:prstGeom prst="rect">
          <a:avLst/>
        </a:prstGeom>
        <a:noFill/>
        <a:scene3d>
          <a:camera prst="perspectiveFront"/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285751</xdr:colOff>
      <xdr:row>4</xdr:row>
      <xdr:rowOff>19051</xdr:rowOff>
    </xdr:from>
    <xdr:to>
      <xdr:col>66</xdr:col>
      <xdr:colOff>429751</xdr:colOff>
      <xdr:row>4</xdr:row>
      <xdr:rowOff>163051</xdr:rowOff>
    </xdr:to>
    <xdr:pic>
      <xdr:nvPicPr>
        <xdr:cNvPr id="128" name="Picture 127" descr="C:\Users\Sebastian\AppData\Local\Microsoft\Windows\Temporary Internet Files\Content.IE5\3PV8NCE7\Silver_medal_icon.svg[1].png">
          <a:extLst>
            <a:ext uri="{FF2B5EF4-FFF2-40B4-BE49-F238E27FC236}">
              <a16:creationId xmlns:a16="http://schemas.microsoft.com/office/drawing/2014/main" xmlns="" id="{2514A9C2-C6A4-400A-8654-F9074E1A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6" y="723901"/>
          <a:ext cx="144000" cy="144000"/>
        </a:xfrm>
        <a:prstGeom prst="rect">
          <a:avLst/>
        </a:prstGeom>
        <a:noFill/>
        <a:scene3d>
          <a:camera prst="perspectiveFront"/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285753</xdr:colOff>
      <xdr:row>3</xdr:row>
      <xdr:rowOff>19050</xdr:rowOff>
    </xdr:from>
    <xdr:to>
      <xdr:col>66</xdr:col>
      <xdr:colOff>429753</xdr:colOff>
      <xdr:row>3</xdr:row>
      <xdr:rowOff>163050</xdr:rowOff>
    </xdr:to>
    <xdr:pic>
      <xdr:nvPicPr>
        <xdr:cNvPr id="129" name="Picture 128" descr="C:\Users\Sebastian\AppData\Local\Microsoft\Windows\Temporary Internet Files\Content.IE5\IGSHB0O1\Gold_medal_icon.svg[1].png">
          <a:extLst>
            <a:ext uri="{FF2B5EF4-FFF2-40B4-BE49-F238E27FC236}">
              <a16:creationId xmlns:a16="http://schemas.microsoft.com/office/drawing/2014/main" xmlns="" id="{C1779493-FC04-4358-BD18-10710C1F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8" y="542925"/>
          <a:ext cx="144000" cy="144000"/>
        </a:xfrm>
        <a:prstGeom prst="rect">
          <a:avLst/>
        </a:prstGeom>
        <a:noFill/>
        <a:scene3d>
          <a:camera prst="perspectiveFront"/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32844</xdr:rowOff>
    </xdr:from>
    <xdr:to>
      <xdr:col>3</xdr:col>
      <xdr:colOff>186943</xdr:colOff>
      <xdr:row>3</xdr:row>
      <xdr:rowOff>138933</xdr:rowOff>
    </xdr:to>
    <xdr:pic>
      <xdr:nvPicPr>
        <xdr:cNvPr id="222" name="Picture 221" descr="Russia">
          <a:extLst>
            <a:ext uri="{FF2B5EF4-FFF2-40B4-BE49-F238E27FC236}">
              <a16:creationId xmlns:a16="http://schemas.microsoft.com/office/drawing/2014/main" xmlns="" id="{616E51F9-D54A-406F-BB42-F6A7F660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058" y="564930"/>
          <a:ext cx="158368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28095</xdr:colOff>
      <xdr:row>3</xdr:row>
      <xdr:rowOff>29110</xdr:rowOff>
    </xdr:from>
    <xdr:to>
      <xdr:col>3</xdr:col>
      <xdr:colOff>186463</xdr:colOff>
      <xdr:row>3</xdr:row>
      <xdr:rowOff>135199</xdr:rowOff>
    </xdr:to>
    <xdr:pic>
      <xdr:nvPicPr>
        <xdr:cNvPr id="223" name="Picture 222" descr="Russia">
          <a:extLst>
            <a:ext uri="{FF2B5EF4-FFF2-40B4-BE49-F238E27FC236}">
              <a16:creationId xmlns:a16="http://schemas.microsoft.com/office/drawing/2014/main" xmlns="" id="{46485350-B5E1-4F91-9052-DF9D553F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16" y="550289"/>
          <a:ext cx="158368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27166</xdr:colOff>
      <xdr:row>5</xdr:row>
      <xdr:rowOff>29672</xdr:rowOff>
    </xdr:from>
    <xdr:to>
      <xdr:col>3</xdr:col>
      <xdr:colOff>185534</xdr:colOff>
      <xdr:row>5</xdr:row>
      <xdr:rowOff>135761</xdr:rowOff>
    </xdr:to>
    <xdr:pic>
      <xdr:nvPicPr>
        <xdr:cNvPr id="224" name="Picture 223" descr="Russia">
          <a:extLst>
            <a:ext uri="{FF2B5EF4-FFF2-40B4-BE49-F238E27FC236}">
              <a16:creationId xmlns:a16="http://schemas.microsoft.com/office/drawing/2014/main" xmlns="" id="{3BE4D8D3-6788-4D48-B44F-72876A0F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29" y="917123"/>
          <a:ext cx="158368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12298</xdr:colOff>
      <xdr:row>7</xdr:row>
      <xdr:rowOff>28743</xdr:rowOff>
    </xdr:from>
    <xdr:to>
      <xdr:col>5</xdr:col>
      <xdr:colOff>170666</xdr:colOff>
      <xdr:row>7</xdr:row>
      <xdr:rowOff>134832</xdr:rowOff>
    </xdr:to>
    <xdr:pic>
      <xdr:nvPicPr>
        <xdr:cNvPr id="225" name="Picture 224" descr="Russia">
          <a:extLst>
            <a:ext uri="{FF2B5EF4-FFF2-40B4-BE49-F238E27FC236}">
              <a16:creationId xmlns:a16="http://schemas.microsoft.com/office/drawing/2014/main" xmlns="" id="{0DE4E5AC-9402-47E7-8A66-82F64B65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298" y="1278609"/>
          <a:ext cx="158368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13939</xdr:colOff>
      <xdr:row>3</xdr:row>
      <xdr:rowOff>46462</xdr:rowOff>
    </xdr:from>
    <xdr:to>
      <xdr:col>5</xdr:col>
      <xdr:colOff>172339</xdr:colOff>
      <xdr:row>3</xdr:row>
      <xdr:rowOff>150556</xdr:rowOff>
    </xdr:to>
    <xdr:pic>
      <xdr:nvPicPr>
        <xdr:cNvPr id="226" name="Picture 225" descr="Saudi Arabia">
          <a:extLst>
            <a:ext uri="{FF2B5EF4-FFF2-40B4-BE49-F238E27FC236}">
              <a16:creationId xmlns:a16="http://schemas.microsoft.com/office/drawing/2014/main" xmlns="" id="{C8963006-3F6C-4DFF-A82D-F5F11EB8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939" y="571499"/>
          <a:ext cx="158400" cy="1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8364</xdr:colOff>
      <xdr:row>6</xdr:row>
      <xdr:rowOff>40886</xdr:rowOff>
    </xdr:from>
    <xdr:to>
      <xdr:col>5</xdr:col>
      <xdr:colOff>166764</xdr:colOff>
      <xdr:row>6</xdr:row>
      <xdr:rowOff>144980</xdr:rowOff>
    </xdr:to>
    <xdr:pic>
      <xdr:nvPicPr>
        <xdr:cNvPr id="227" name="Picture 226" descr="Saudi Arabia">
          <a:extLst>
            <a:ext uri="{FF2B5EF4-FFF2-40B4-BE49-F238E27FC236}">
              <a16:creationId xmlns:a16="http://schemas.microsoft.com/office/drawing/2014/main" xmlns="" id="{C1FD9F6E-E50D-438E-A311-9E2BC255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4364" y="1109545"/>
          <a:ext cx="158400" cy="1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21374</xdr:colOff>
      <xdr:row>8</xdr:row>
      <xdr:rowOff>39958</xdr:rowOff>
    </xdr:from>
    <xdr:to>
      <xdr:col>3</xdr:col>
      <xdr:colOff>179774</xdr:colOff>
      <xdr:row>8</xdr:row>
      <xdr:rowOff>144052</xdr:rowOff>
    </xdr:to>
    <xdr:pic>
      <xdr:nvPicPr>
        <xdr:cNvPr id="228" name="Picture 227" descr="Saudi Arabia">
          <a:extLst>
            <a:ext uri="{FF2B5EF4-FFF2-40B4-BE49-F238E27FC236}">
              <a16:creationId xmlns:a16="http://schemas.microsoft.com/office/drawing/2014/main" xmlns="" id="{FF3F10DE-4C57-4102-9D30-608E21FD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37" y="1471031"/>
          <a:ext cx="158400" cy="1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23231</xdr:colOff>
      <xdr:row>4</xdr:row>
      <xdr:rowOff>46463</xdr:rowOff>
    </xdr:from>
    <xdr:to>
      <xdr:col>3</xdr:col>
      <xdr:colOff>181631</xdr:colOff>
      <xdr:row>4</xdr:row>
      <xdr:rowOff>150775</xdr:rowOff>
    </xdr:to>
    <xdr:pic>
      <xdr:nvPicPr>
        <xdr:cNvPr id="229" name="Picture 228" descr="Egypt">
          <a:extLst>
            <a:ext uri="{FF2B5EF4-FFF2-40B4-BE49-F238E27FC236}">
              <a16:creationId xmlns:a16="http://schemas.microsoft.com/office/drawing/2014/main" xmlns="" id="{C62827FB-5EE9-4026-B937-44A1988D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194" y="752707"/>
          <a:ext cx="158400" cy="10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13009</xdr:colOff>
      <xdr:row>8</xdr:row>
      <xdr:rowOff>45534</xdr:rowOff>
    </xdr:from>
    <xdr:to>
      <xdr:col>5</xdr:col>
      <xdr:colOff>171409</xdr:colOff>
      <xdr:row>8</xdr:row>
      <xdr:rowOff>149846</xdr:rowOff>
    </xdr:to>
    <xdr:pic>
      <xdr:nvPicPr>
        <xdr:cNvPr id="230" name="Picture 229" descr="Egypt">
          <a:extLst>
            <a:ext uri="{FF2B5EF4-FFF2-40B4-BE49-F238E27FC236}">
              <a16:creationId xmlns:a16="http://schemas.microsoft.com/office/drawing/2014/main" xmlns="" id="{CF934340-9348-4F7E-AF81-5CA64E86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009" y="1476607"/>
          <a:ext cx="158400" cy="10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7433</xdr:colOff>
      <xdr:row>5</xdr:row>
      <xdr:rowOff>39958</xdr:rowOff>
    </xdr:from>
    <xdr:to>
      <xdr:col>5</xdr:col>
      <xdr:colOff>165833</xdr:colOff>
      <xdr:row>5</xdr:row>
      <xdr:rowOff>144270</xdr:rowOff>
    </xdr:to>
    <xdr:pic>
      <xdr:nvPicPr>
        <xdr:cNvPr id="231" name="Picture 230" descr="Egypt">
          <a:extLst>
            <a:ext uri="{FF2B5EF4-FFF2-40B4-BE49-F238E27FC236}">
              <a16:creationId xmlns:a16="http://schemas.microsoft.com/office/drawing/2014/main" xmlns="" id="{C52CBA76-E575-4219-9FCB-F484FA4A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433" y="927409"/>
          <a:ext cx="158400" cy="10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7433</xdr:colOff>
      <xdr:row>4</xdr:row>
      <xdr:rowOff>30664</xdr:rowOff>
    </xdr:from>
    <xdr:to>
      <xdr:col>5</xdr:col>
      <xdr:colOff>171782</xdr:colOff>
      <xdr:row>4</xdr:row>
      <xdr:rowOff>138664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B8F534C-A160-4197-AC95-47CBB658C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93433" y="736908"/>
          <a:ext cx="164349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15797</xdr:colOff>
      <xdr:row>6</xdr:row>
      <xdr:rowOff>43674</xdr:rowOff>
    </xdr:from>
    <xdr:to>
      <xdr:col>3</xdr:col>
      <xdr:colOff>180146</xdr:colOff>
      <xdr:row>6</xdr:row>
      <xdr:rowOff>151674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xmlns="" id="{8F78A28D-61D8-4A7D-A222-8E5629EB3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4760" y="1112333"/>
          <a:ext cx="164349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19514</xdr:colOff>
      <xdr:row>7</xdr:row>
      <xdr:rowOff>42745</xdr:rowOff>
    </xdr:from>
    <xdr:to>
      <xdr:col>3</xdr:col>
      <xdr:colOff>183863</xdr:colOff>
      <xdr:row>7</xdr:row>
      <xdr:rowOff>150745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xmlns="" id="{5CE58256-1715-4D95-B2E2-7EE49748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8477" y="1292611"/>
          <a:ext cx="164349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26671</xdr:colOff>
      <xdr:row>12</xdr:row>
      <xdr:rowOff>41911</xdr:rowOff>
    </xdr:from>
    <xdr:to>
      <xdr:col>3</xdr:col>
      <xdr:colOff>185071</xdr:colOff>
      <xdr:row>12</xdr:row>
      <xdr:rowOff>146908</xdr:rowOff>
    </xdr:to>
    <xdr:pic>
      <xdr:nvPicPr>
        <xdr:cNvPr id="234" name="Picture 233" descr="Morocco">
          <a:extLst>
            <a:ext uri="{FF2B5EF4-FFF2-40B4-BE49-F238E27FC236}">
              <a16:creationId xmlns:a16="http://schemas.microsoft.com/office/drawing/2014/main" xmlns="" id="{00DD2879-3046-45A4-8C36-28740388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221742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19051</xdr:colOff>
      <xdr:row>16</xdr:row>
      <xdr:rowOff>41911</xdr:rowOff>
    </xdr:from>
    <xdr:to>
      <xdr:col>5</xdr:col>
      <xdr:colOff>177451</xdr:colOff>
      <xdr:row>16</xdr:row>
      <xdr:rowOff>146908</xdr:rowOff>
    </xdr:to>
    <xdr:pic>
      <xdr:nvPicPr>
        <xdr:cNvPr id="235" name="Picture 234" descr="Portugal">
          <a:extLst>
            <a:ext uri="{FF2B5EF4-FFF2-40B4-BE49-F238E27FC236}">
              <a16:creationId xmlns:a16="http://schemas.microsoft.com/office/drawing/2014/main" xmlns="" id="{9503C093-3D1B-4A1C-B7AB-886F9359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29489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</xdr:colOff>
      <xdr:row>15</xdr:row>
      <xdr:rowOff>45721</xdr:rowOff>
    </xdr:from>
    <xdr:to>
      <xdr:col>3</xdr:col>
      <xdr:colOff>185070</xdr:colOff>
      <xdr:row>15</xdr:row>
      <xdr:rowOff>149812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9BF743D-79E5-4DE5-BD75-B42B712D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28700" y="276987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</xdr:colOff>
      <xdr:row>13</xdr:row>
      <xdr:rowOff>41911</xdr:rowOff>
    </xdr:from>
    <xdr:to>
      <xdr:col>5</xdr:col>
      <xdr:colOff>181260</xdr:colOff>
      <xdr:row>13</xdr:row>
      <xdr:rowOff>146002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9C8A184-4101-483E-B5E2-065D107E0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12670" y="240030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22861</xdr:colOff>
      <xdr:row>14</xdr:row>
      <xdr:rowOff>45721</xdr:rowOff>
    </xdr:from>
    <xdr:to>
      <xdr:col>5</xdr:col>
      <xdr:colOff>181261</xdr:colOff>
      <xdr:row>14</xdr:row>
      <xdr:rowOff>150718</xdr:rowOff>
    </xdr:to>
    <xdr:pic>
      <xdr:nvPicPr>
        <xdr:cNvPr id="236" name="Picture 235" descr="Morocco">
          <a:extLst>
            <a:ext uri="{FF2B5EF4-FFF2-40B4-BE49-F238E27FC236}">
              <a16:creationId xmlns:a16="http://schemas.microsoft.com/office/drawing/2014/main" xmlns="" id="{27B7F282-D77A-4F21-940B-28E760C9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1" y="258699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22861</xdr:colOff>
      <xdr:row>17</xdr:row>
      <xdr:rowOff>45721</xdr:rowOff>
    </xdr:from>
    <xdr:to>
      <xdr:col>5</xdr:col>
      <xdr:colOff>181261</xdr:colOff>
      <xdr:row>17</xdr:row>
      <xdr:rowOff>150718</xdr:rowOff>
    </xdr:to>
    <xdr:pic>
      <xdr:nvPicPr>
        <xdr:cNvPr id="237" name="Picture 236" descr="Morocco">
          <a:extLst>
            <a:ext uri="{FF2B5EF4-FFF2-40B4-BE49-F238E27FC236}">
              <a16:creationId xmlns:a16="http://schemas.microsoft.com/office/drawing/2014/main" xmlns="" id="{DBD579CC-344D-4D24-A8EE-93077BF4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1" y="313563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</xdr:colOff>
      <xdr:row>17</xdr:row>
      <xdr:rowOff>41911</xdr:rowOff>
    </xdr:from>
    <xdr:to>
      <xdr:col>3</xdr:col>
      <xdr:colOff>185070</xdr:colOff>
      <xdr:row>17</xdr:row>
      <xdr:rowOff>146002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xmlns="" id="{40C0B3A4-5324-46EA-9E9F-0EEA05B4E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28700" y="313182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</xdr:row>
      <xdr:rowOff>41911</xdr:rowOff>
    </xdr:from>
    <xdr:to>
      <xdr:col>5</xdr:col>
      <xdr:colOff>177450</xdr:colOff>
      <xdr:row>15</xdr:row>
      <xdr:rowOff>146002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xmlns="" id="{069D3D98-A399-4A9F-81F9-4C1DE420D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308860" y="276606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</xdr:colOff>
      <xdr:row>12</xdr:row>
      <xdr:rowOff>45721</xdr:rowOff>
    </xdr:from>
    <xdr:to>
      <xdr:col>5</xdr:col>
      <xdr:colOff>181260</xdr:colOff>
      <xdr:row>12</xdr:row>
      <xdr:rowOff>149812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xmlns="" id="{EE284E8B-15BD-4973-AC6B-4A4B2DC9A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12670" y="222123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</xdr:colOff>
      <xdr:row>16</xdr:row>
      <xdr:rowOff>41911</xdr:rowOff>
    </xdr:from>
    <xdr:to>
      <xdr:col>3</xdr:col>
      <xdr:colOff>185070</xdr:colOff>
      <xdr:row>16</xdr:row>
      <xdr:rowOff>146002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xmlns="" id="{5064E852-BCA2-458C-94F0-5A0BB48C5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28700" y="294894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26671</xdr:colOff>
      <xdr:row>14</xdr:row>
      <xdr:rowOff>41911</xdr:rowOff>
    </xdr:from>
    <xdr:to>
      <xdr:col>3</xdr:col>
      <xdr:colOff>185071</xdr:colOff>
      <xdr:row>14</xdr:row>
      <xdr:rowOff>146908</xdr:rowOff>
    </xdr:to>
    <xdr:pic>
      <xdr:nvPicPr>
        <xdr:cNvPr id="242" name="Picture 241" descr="Portugal">
          <a:extLst>
            <a:ext uri="{FF2B5EF4-FFF2-40B4-BE49-F238E27FC236}">
              <a16:creationId xmlns:a16="http://schemas.microsoft.com/office/drawing/2014/main" xmlns="" id="{85778C93-0DD6-4F71-842A-C5323E0F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258318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13</xdr:row>
      <xdr:rowOff>41911</xdr:rowOff>
    </xdr:from>
    <xdr:to>
      <xdr:col>3</xdr:col>
      <xdr:colOff>185071</xdr:colOff>
      <xdr:row>13</xdr:row>
      <xdr:rowOff>146908</xdr:rowOff>
    </xdr:to>
    <xdr:pic>
      <xdr:nvPicPr>
        <xdr:cNvPr id="243" name="Picture 242" descr="Portugal">
          <a:extLst>
            <a:ext uri="{FF2B5EF4-FFF2-40B4-BE49-F238E27FC236}">
              <a16:creationId xmlns:a16="http://schemas.microsoft.com/office/drawing/2014/main" xmlns="" id="{AE435D9C-CE5F-4794-B9A0-C3BC65F6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24003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21</xdr:row>
      <xdr:rowOff>45721</xdr:rowOff>
    </xdr:from>
    <xdr:to>
      <xdr:col>3</xdr:col>
      <xdr:colOff>185071</xdr:colOff>
      <xdr:row>21</xdr:row>
      <xdr:rowOff>150718</xdr:rowOff>
    </xdr:to>
    <xdr:pic>
      <xdr:nvPicPr>
        <xdr:cNvPr id="244" name="Picture 243" descr="France">
          <a:extLst>
            <a:ext uri="{FF2B5EF4-FFF2-40B4-BE49-F238E27FC236}">
              <a16:creationId xmlns:a16="http://schemas.microsoft.com/office/drawing/2014/main" xmlns="" id="{933B850B-468D-47BC-B658-92ABE32A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38481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21</xdr:row>
      <xdr:rowOff>49531</xdr:rowOff>
    </xdr:from>
    <xdr:to>
      <xdr:col>5</xdr:col>
      <xdr:colOff>177450</xdr:colOff>
      <xdr:row>21</xdr:row>
      <xdr:rowOff>154228</xdr:rowOff>
    </xdr:to>
    <xdr:pic>
      <xdr:nvPicPr>
        <xdr:cNvPr id="245" name="Picture 244" descr="Australia">
          <a:extLst>
            <a:ext uri="{FF2B5EF4-FFF2-40B4-BE49-F238E27FC236}">
              <a16:creationId xmlns:a16="http://schemas.microsoft.com/office/drawing/2014/main" xmlns="" id="{1CF8AD22-58A1-4671-A5DB-45A55805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3851911"/>
          <a:ext cx="158400" cy="10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19051</xdr:colOff>
      <xdr:row>30</xdr:row>
      <xdr:rowOff>49531</xdr:rowOff>
    </xdr:from>
    <xdr:to>
      <xdr:col>5</xdr:col>
      <xdr:colOff>177451</xdr:colOff>
      <xdr:row>30</xdr:row>
      <xdr:rowOff>154528</xdr:rowOff>
    </xdr:to>
    <xdr:pic>
      <xdr:nvPicPr>
        <xdr:cNvPr id="246" name="Picture 245" descr="Iceland">
          <a:extLst>
            <a:ext uri="{FF2B5EF4-FFF2-40B4-BE49-F238E27FC236}">
              <a16:creationId xmlns:a16="http://schemas.microsoft.com/office/drawing/2014/main" xmlns="" id="{7E1C21B1-8BBA-434C-AD69-5A25A940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549783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</xdr:colOff>
      <xdr:row>22</xdr:row>
      <xdr:rowOff>49531</xdr:rowOff>
    </xdr:from>
    <xdr:to>
      <xdr:col>3</xdr:col>
      <xdr:colOff>185070</xdr:colOff>
      <xdr:row>22</xdr:row>
      <xdr:rowOff>153622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F433F89-2A0C-432A-A476-5765E5253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28700" y="403479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22</xdr:row>
      <xdr:rowOff>45721</xdr:rowOff>
    </xdr:from>
    <xdr:to>
      <xdr:col>5</xdr:col>
      <xdr:colOff>177451</xdr:colOff>
      <xdr:row>22</xdr:row>
      <xdr:rowOff>150718</xdr:rowOff>
    </xdr:to>
    <xdr:pic>
      <xdr:nvPicPr>
        <xdr:cNvPr id="247" name="Picture 246" descr="Denmark">
          <a:extLst>
            <a:ext uri="{FF2B5EF4-FFF2-40B4-BE49-F238E27FC236}">
              <a16:creationId xmlns:a16="http://schemas.microsoft.com/office/drawing/2014/main" xmlns="" id="{6AB11AA9-89CB-4B0D-8FDA-E13AC629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403098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30</xdr:row>
      <xdr:rowOff>41911</xdr:rowOff>
    </xdr:from>
    <xdr:to>
      <xdr:col>3</xdr:col>
      <xdr:colOff>177450</xdr:colOff>
      <xdr:row>30</xdr:row>
      <xdr:rowOff>146002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FC989C6-4B1D-47DF-A823-EC8F75874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21080" y="549021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22861</xdr:colOff>
      <xdr:row>31</xdr:row>
      <xdr:rowOff>45721</xdr:rowOff>
    </xdr:from>
    <xdr:to>
      <xdr:col>3</xdr:col>
      <xdr:colOff>181261</xdr:colOff>
      <xdr:row>31</xdr:row>
      <xdr:rowOff>150718</xdr:rowOff>
    </xdr:to>
    <xdr:pic>
      <xdr:nvPicPr>
        <xdr:cNvPr id="248" name="Picture 247" descr="Croatia">
          <a:extLst>
            <a:ext uri="{FF2B5EF4-FFF2-40B4-BE49-F238E27FC236}">
              <a16:creationId xmlns:a16="http://schemas.microsoft.com/office/drawing/2014/main" xmlns="" id="{1460F8D7-468D-44E4-ACC5-136ACE1D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1" y="56769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31</xdr:row>
      <xdr:rowOff>45721</xdr:rowOff>
    </xdr:from>
    <xdr:to>
      <xdr:col>5</xdr:col>
      <xdr:colOff>177450</xdr:colOff>
      <xdr:row>31</xdr:row>
      <xdr:rowOff>149812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70048CE0-4216-4916-A40C-692344F4C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08860" y="567690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</xdr:colOff>
      <xdr:row>34</xdr:row>
      <xdr:rowOff>45721</xdr:rowOff>
    </xdr:from>
    <xdr:to>
      <xdr:col>5</xdr:col>
      <xdr:colOff>173640</xdr:colOff>
      <xdr:row>34</xdr:row>
      <xdr:rowOff>149812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xmlns="" id="{6F3F50C9-7C1A-4D73-9D65-E74B5B2D9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05050" y="622554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32</xdr:row>
      <xdr:rowOff>49531</xdr:rowOff>
    </xdr:from>
    <xdr:to>
      <xdr:col>3</xdr:col>
      <xdr:colOff>177450</xdr:colOff>
      <xdr:row>32</xdr:row>
      <xdr:rowOff>153622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xmlns="" id="{88F54D54-26D1-4500-9040-BD3B5ABFD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21080" y="586359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35</xdr:row>
      <xdr:rowOff>41911</xdr:rowOff>
    </xdr:from>
    <xdr:to>
      <xdr:col>5</xdr:col>
      <xdr:colOff>177451</xdr:colOff>
      <xdr:row>35</xdr:row>
      <xdr:rowOff>146908</xdr:rowOff>
    </xdr:to>
    <xdr:pic>
      <xdr:nvPicPr>
        <xdr:cNvPr id="251" name="Picture 250" descr="Croatia">
          <a:extLst>
            <a:ext uri="{FF2B5EF4-FFF2-40B4-BE49-F238E27FC236}">
              <a16:creationId xmlns:a16="http://schemas.microsoft.com/office/drawing/2014/main" xmlns="" id="{3593C491-6099-4302-86D8-D3609A6D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640461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19051</xdr:colOff>
      <xdr:row>32</xdr:row>
      <xdr:rowOff>45721</xdr:rowOff>
    </xdr:from>
    <xdr:to>
      <xdr:col>5</xdr:col>
      <xdr:colOff>177451</xdr:colOff>
      <xdr:row>32</xdr:row>
      <xdr:rowOff>150718</xdr:rowOff>
    </xdr:to>
    <xdr:pic>
      <xdr:nvPicPr>
        <xdr:cNvPr id="252" name="Picture 251" descr="Croatia">
          <a:extLst>
            <a:ext uri="{FF2B5EF4-FFF2-40B4-BE49-F238E27FC236}">
              <a16:creationId xmlns:a16="http://schemas.microsoft.com/office/drawing/2014/main" xmlns="" id="{36B12539-D0D8-4C08-BAAC-37310464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585978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19051</xdr:colOff>
      <xdr:row>35</xdr:row>
      <xdr:rowOff>45721</xdr:rowOff>
    </xdr:from>
    <xdr:to>
      <xdr:col>3</xdr:col>
      <xdr:colOff>177451</xdr:colOff>
      <xdr:row>35</xdr:row>
      <xdr:rowOff>150718</xdr:rowOff>
    </xdr:to>
    <xdr:pic>
      <xdr:nvPicPr>
        <xdr:cNvPr id="253" name="Picture 252" descr="Iceland">
          <a:extLst>
            <a:ext uri="{FF2B5EF4-FFF2-40B4-BE49-F238E27FC236}">
              <a16:creationId xmlns:a16="http://schemas.microsoft.com/office/drawing/2014/main" xmlns="" id="{5C1AD46D-83B2-4710-BE82-6F42AF0A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1" y="640842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19051</xdr:colOff>
      <xdr:row>33</xdr:row>
      <xdr:rowOff>41911</xdr:rowOff>
    </xdr:from>
    <xdr:to>
      <xdr:col>5</xdr:col>
      <xdr:colOff>177451</xdr:colOff>
      <xdr:row>33</xdr:row>
      <xdr:rowOff>146908</xdr:rowOff>
    </xdr:to>
    <xdr:pic>
      <xdr:nvPicPr>
        <xdr:cNvPr id="254" name="Picture 253" descr="Iceland">
          <a:extLst>
            <a:ext uri="{FF2B5EF4-FFF2-40B4-BE49-F238E27FC236}">
              <a16:creationId xmlns:a16="http://schemas.microsoft.com/office/drawing/2014/main" xmlns="" id="{67FD5520-2BE9-4523-8474-BA36E0DD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603885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34</xdr:row>
      <xdr:rowOff>45721</xdr:rowOff>
    </xdr:from>
    <xdr:to>
      <xdr:col>3</xdr:col>
      <xdr:colOff>181260</xdr:colOff>
      <xdr:row>34</xdr:row>
      <xdr:rowOff>149812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xmlns="" id="{39992203-778C-4D36-95BD-A4DC2B681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24890" y="622554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33</xdr:row>
      <xdr:rowOff>45721</xdr:rowOff>
    </xdr:from>
    <xdr:to>
      <xdr:col>3</xdr:col>
      <xdr:colOff>177450</xdr:colOff>
      <xdr:row>33</xdr:row>
      <xdr:rowOff>149812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xmlns="" id="{5F734D39-CF81-486D-BD8E-D38CE6800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21080" y="604266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</xdr:colOff>
      <xdr:row>26</xdr:row>
      <xdr:rowOff>41911</xdr:rowOff>
    </xdr:from>
    <xdr:to>
      <xdr:col>3</xdr:col>
      <xdr:colOff>181260</xdr:colOff>
      <xdr:row>26</xdr:row>
      <xdr:rowOff>146608</xdr:rowOff>
    </xdr:to>
    <xdr:pic>
      <xdr:nvPicPr>
        <xdr:cNvPr id="257" name="Picture 256" descr="Australia">
          <a:extLst>
            <a:ext uri="{FF2B5EF4-FFF2-40B4-BE49-F238E27FC236}">
              <a16:creationId xmlns:a16="http://schemas.microsoft.com/office/drawing/2014/main" xmlns="" id="{0AA19FC8-7E2D-4518-9DC9-73EA191D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4758691"/>
          <a:ext cx="158400" cy="10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23</xdr:row>
      <xdr:rowOff>49531</xdr:rowOff>
    </xdr:from>
    <xdr:to>
      <xdr:col>5</xdr:col>
      <xdr:colOff>173640</xdr:colOff>
      <xdr:row>23</xdr:row>
      <xdr:rowOff>154228</xdr:rowOff>
    </xdr:to>
    <xdr:pic>
      <xdr:nvPicPr>
        <xdr:cNvPr id="258" name="Picture 257" descr="Australia">
          <a:extLst>
            <a:ext uri="{FF2B5EF4-FFF2-40B4-BE49-F238E27FC236}">
              <a16:creationId xmlns:a16="http://schemas.microsoft.com/office/drawing/2014/main" xmlns="" id="{93CA6ED0-F997-4694-8F4B-3D018803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217671"/>
          <a:ext cx="158400" cy="10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22861</xdr:colOff>
      <xdr:row>25</xdr:row>
      <xdr:rowOff>34291</xdr:rowOff>
    </xdr:from>
    <xdr:to>
      <xdr:col>3</xdr:col>
      <xdr:colOff>181261</xdr:colOff>
      <xdr:row>25</xdr:row>
      <xdr:rowOff>139288</xdr:rowOff>
    </xdr:to>
    <xdr:pic>
      <xdr:nvPicPr>
        <xdr:cNvPr id="259" name="Picture 258" descr="Denmark">
          <a:extLst>
            <a:ext uri="{FF2B5EF4-FFF2-40B4-BE49-F238E27FC236}">
              <a16:creationId xmlns:a16="http://schemas.microsoft.com/office/drawing/2014/main" xmlns="" id="{D0DF2D5D-DB7F-4840-93DD-CD75D0B3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1" y="456819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23</xdr:row>
      <xdr:rowOff>45721</xdr:rowOff>
    </xdr:from>
    <xdr:to>
      <xdr:col>3</xdr:col>
      <xdr:colOff>185071</xdr:colOff>
      <xdr:row>23</xdr:row>
      <xdr:rowOff>150718</xdr:rowOff>
    </xdr:to>
    <xdr:pic>
      <xdr:nvPicPr>
        <xdr:cNvPr id="260" name="Picture 259" descr="Denmark">
          <a:extLst>
            <a:ext uri="{FF2B5EF4-FFF2-40B4-BE49-F238E27FC236}">
              <a16:creationId xmlns:a16="http://schemas.microsoft.com/office/drawing/2014/main" xmlns="" id="{F393203C-A6F4-4293-A396-6D74ABAE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421386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24</xdr:row>
      <xdr:rowOff>45721</xdr:rowOff>
    </xdr:from>
    <xdr:to>
      <xdr:col>5</xdr:col>
      <xdr:colOff>173640</xdr:colOff>
      <xdr:row>24</xdr:row>
      <xdr:rowOff>149812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xmlns="" id="{E275EB1B-4A6D-4A53-A2FA-C215D3C84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05050" y="439674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</xdr:colOff>
      <xdr:row>26</xdr:row>
      <xdr:rowOff>49531</xdr:rowOff>
    </xdr:from>
    <xdr:to>
      <xdr:col>5</xdr:col>
      <xdr:colOff>181260</xdr:colOff>
      <xdr:row>26</xdr:row>
      <xdr:rowOff>153622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xmlns="" id="{3A8CD9A0-F49F-4772-A3DD-6D94E29A8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312670" y="476631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26671</xdr:colOff>
      <xdr:row>24</xdr:row>
      <xdr:rowOff>45721</xdr:rowOff>
    </xdr:from>
    <xdr:to>
      <xdr:col>3</xdr:col>
      <xdr:colOff>185071</xdr:colOff>
      <xdr:row>24</xdr:row>
      <xdr:rowOff>150718</xdr:rowOff>
    </xdr:to>
    <xdr:pic>
      <xdr:nvPicPr>
        <xdr:cNvPr id="263" name="Picture 262" descr="France">
          <a:extLst>
            <a:ext uri="{FF2B5EF4-FFF2-40B4-BE49-F238E27FC236}">
              <a16:creationId xmlns:a16="http://schemas.microsoft.com/office/drawing/2014/main" xmlns="" id="{CE50A235-B912-42F6-A3A1-27AE9B87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43967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19051</xdr:colOff>
      <xdr:row>25</xdr:row>
      <xdr:rowOff>49531</xdr:rowOff>
    </xdr:from>
    <xdr:to>
      <xdr:col>5</xdr:col>
      <xdr:colOff>177451</xdr:colOff>
      <xdr:row>25</xdr:row>
      <xdr:rowOff>154528</xdr:rowOff>
    </xdr:to>
    <xdr:pic>
      <xdr:nvPicPr>
        <xdr:cNvPr id="264" name="Picture 263" descr="France">
          <a:extLst>
            <a:ext uri="{FF2B5EF4-FFF2-40B4-BE49-F238E27FC236}">
              <a16:creationId xmlns:a16="http://schemas.microsoft.com/office/drawing/2014/main" xmlns="" id="{C06FB710-264C-4497-8F9F-71FCF4C1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458343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39</xdr:row>
      <xdr:rowOff>45721</xdr:rowOff>
    </xdr:from>
    <xdr:to>
      <xdr:col>3</xdr:col>
      <xdr:colOff>185071</xdr:colOff>
      <xdr:row>39</xdr:row>
      <xdr:rowOff>150718</xdr:rowOff>
    </xdr:to>
    <xdr:pic>
      <xdr:nvPicPr>
        <xdr:cNvPr id="265" name="Picture 264" descr="Costa Rica">
          <a:extLst>
            <a:ext uri="{FF2B5EF4-FFF2-40B4-BE49-F238E27FC236}">
              <a16:creationId xmlns:a16="http://schemas.microsoft.com/office/drawing/2014/main" xmlns="" id="{333AFED5-CAA7-41AC-B469-DCFAAA91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71399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19051</xdr:colOff>
      <xdr:row>39</xdr:row>
      <xdr:rowOff>49531</xdr:rowOff>
    </xdr:from>
    <xdr:to>
      <xdr:col>5</xdr:col>
      <xdr:colOff>177451</xdr:colOff>
      <xdr:row>39</xdr:row>
      <xdr:rowOff>154528</xdr:rowOff>
    </xdr:to>
    <xdr:pic>
      <xdr:nvPicPr>
        <xdr:cNvPr id="266" name="Picture 265" descr="Serbia">
          <a:extLst>
            <a:ext uri="{FF2B5EF4-FFF2-40B4-BE49-F238E27FC236}">
              <a16:creationId xmlns:a16="http://schemas.microsoft.com/office/drawing/2014/main" xmlns="" id="{FA45BDD9-AA02-488A-9F50-BCD634CC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1" y="714375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40</xdr:row>
      <xdr:rowOff>41911</xdr:rowOff>
    </xdr:from>
    <xdr:to>
      <xdr:col>3</xdr:col>
      <xdr:colOff>185071</xdr:colOff>
      <xdr:row>40</xdr:row>
      <xdr:rowOff>146908</xdr:rowOff>
    </xdr:to>
    <xdr:pic>
      <xdr:nvPicPr>
        <xdr:cNvPr id="267" name="Picture 266" descr="Brazil">
          <a:extLst>
            <a:ext uri="{FF2B5EF4-FFF2-40B4-BE49-F238E27FC236}">
              <a16:creationId xmlns:a16="http://schemas.microsoft.com/office/drawing/2014/main" xmlns="" id="{C2C4A46E-FB90-4E17-9D96-88362C8B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731901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44</xdr:row>
      <xdr:rowOff>45721</xdr:rowOff>
    </xdr:from>
    <xdr:to>
      <xdr:col>3</xdr:col>
      <xdr:colOff>185071</xdr:colOff>
      <xdr:row>44</xdr:row>
      <xdr:rowOff>150718</xdr:rowOff>
    </xdr:to>
    <xdr:pic>
      <xdr:nvPicPr>
        <xdr:cNvPr id="268" name="Picture 267" descr="Switzerland">
          <a:extLst>
            <a:ext uri="{FF2B5EF4-FFF2-40B4-BE49-F238E27FC236}">
              <a16:creationId xmlns:a16="http://schemas.microsoft.com/office/drawing/2014/main" xmlns="" id="{D813F7AD-75F2-46C0-9A45-70D36041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80543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48</xdr:row>
      <xdr:rowOff>49530</xdr:rowOff>
    </xdr:from>
    <xdr:to>
      <xdr:col>3</xdr:col>
      <xdr:colOff>178170</xdr:colOff>
      <xdr:row>48</xdr:row>
      <xdr:rowOff>157530</xdr:rowOff>
    </xdr:to>
    <xdr:pic>
      <xdr:nvPicPr>
        <xdr:cNvPr id="269" name="Picture 268" descr="Germany">
          <a:extLst>
            <a:ext uri="{FF2B5EF4-FFF2-40B4-BE49-F238E27FC236}">
              <a16:creationId xmlns:a16="http://schemas.microsoft.com/office/drawing/2014/main" xmlns="" id="{A91C2A3E-7E38-48D8-96AB-4B63938E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" y="878967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48</xdr:row>
      <xdr:rowOff>41910</xdr:rowOff>
    </xdr:from>
    <xdr:to>
      <xdr:col>5</xdr:col>
      <xdr:colOff>181980</xdr:colOff>
      <xdr:row>48</xdr:row>
      <xdr:rowOff>149910</xdr:rowOff>
    </xdr:to>
    <xdr:pic>
      <xdr:nvPicPr>
        <xdr:cNvPr id="270" name="Picture 269" descr="Mexico">
          <a:extLst>
            <a:ext uri="{FF2B5EF4-FFF2-40B4-BE49-F238E27FC236}">
              <a16:creationId xmlns:a16="http://schemas.microsoft.com/office/drawing/2014/main" xmlns="" id="{26397ED4-5730-4A80-A7A5-DCD939E7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87820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49</xdr:row>
      <xdr:rowOff>45720</xdr:rowOff>
    </xdr:from>
    <xdr:to>
      <xdr:col>3</xdr:col>
      <xdr:colOff>181980</xdr:colOff>
      <xdr:row>49</xdr:row>
      <xdr:rowOff>153720</xdr:rowOff>
    </xdr:to>
    <xdr:pic>
      <xdr:nvPicPr>
        <xdr:cNvPr id="271" name="Picture 270" descr="Sweden">
          <a:extLst>
            <a:ext uri="{FF2B5EF4-FFF2-40B4-BE49-F238E27FC236}">
              <a16:creationId xmlns:a16="http://schemas.microsoft.com/office/drawing/2014/main" xmlns="" id="{653B63ED-FEE9-4EB3-973B-8F568EDF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896874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49</xdr:row>
      <xdr:rowOff>45720</xdr:rowOff>
    </xdr:from>
    <xdr:to>
      <xdr:col>5</xdr:col>
      <xdr:colOff>170550</xdr:colOff>
      <xdr:row>49</xdr:row>
      <xdr:rowOff>153720</xdr:rowOff>
    </xdr:to>
    <xdr:pic>
      <xdr:nvPicPr>
        <xdr:cNvPr id="272" name="Picture 271" descr="Korea Republic">
          <a:extLst>
            <a:ext uri="{FF2B5EF4-FFF2-40B4-BE49-F238E27FC236}">
              <a16:creationId xmlns:a16="http://schemas.microsoft.com/office/drawing/2014/main" xmlns="" id="{4AEB2EF9-B25A-46BA-850B-43B13041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430" y="896874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57</xdr:row>
      <xdr:rowOff>45720</xdr:rowOff>
    </xdr:from>
    <xdr:to>
      <xdr:col>3</xdr:col>
      <xdr:colOff>185790</xdr:colOff>
      <xdr:row>57</xdr:row>
      <xdr:rowOff>153720</xdr:rowOff>
    </xdr:to>
    <xdr:pic>
      <xdr:nvPicPr>
        <xdr:cNvPr id="273" name="Picture 272" descr="Belgium">
          <a:extLst>
            <a:ext uri="{FF2B5EF4-FFF2-40B4-BE49-F238E27FC236}">
              <a16:creationId xmlns:a16="http://schemas.microsoft.com/office/drawing/2014/main" xmlns="" id="{1077C5F7-130C-4464-B1BF-80427AD8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043178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22860</xdr:colOff>
      <xdr:row>57</xdr:row>
      <xdr:rowOff>45720</xdr:rowOff>
    </xdr:from>
    <xdr:to>
      <xdr:col>5</xdr:col>
      <xdr:colOff>185790</xdr:colOff>
      <xdr:row>57</xdr:row>
      <xdr:rowOff>153720</xdr:rowOff>
    </xdr:to>
    <xdr:pic>
      <xdr:nvPicPr>
        <xdr:cNvPr id="274" name="Picture 273" descr="Panama">
          <a:extLst>
            <a:ext uri="{FF2B5EF4-FFF2-40B4-BE49-F238E27FC236}">
              <a16:creationId xmlns:a16="http://schemas.microsoft.com/office/drawing/2014/main" xmlns="" id="{969B7D1D-68F5-44DB-843C-6C61511C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" y="1043178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58</xdr:row>
      <xdr:rowOff>45720</xdr:rowOff>
    </xdr:from>
    <xdr:to>
      <xdr:col>3</xdr:col>
      <xdr:colOff>185790</xdr:colOff>
      <xdr:row>58</xdr:row>
      <xdr:rowOff>153720</xdr:rowOff>
    </xdr:to>
    <xdr:pic>
      <xdr:nvPicPr>
        <xdr:cNvPr id="275" name="Picture 274" descr="Tunisia">
          <a:extLst>
            <a:ext uri="{FF2B5EF4-FFF2-40B4-BE49-F238E27FC236}">
              <a16:creationId xmlns:a16="http://schemas.microsoft.com/office/drawing/2014/main" xmlns="" id="{0EEF32DD-2B65-4691-8CB2-154B60FD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061466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58</xdr:row>
      <xdr:rowOff>41910</xdr:rowOff>
    </xdr:from>
    <xdr:to>
      <xdr:col>5</xdr:col>
      <xdr:colOff>178170</xdr:colOff>
      <xdr:row>58</xdr:row>
      <xdr:rowOff>149910</xdr:rowOff>
    </xdr:to>
    <xdr:pic>
      <xdr:nvPicPr>
        <xdr:cNvPr id="276" name="Picture 275" descr="England">
          <a:extLst>
            <a:ext uri="{FF2B5EF4-FFF2-40B4-BE49-F238E27FC236}">
              <a16:creationId xmlns:a16="http://schemas.microsoft.com/office/drawing/2014/main" xmlns="" id="{0C4BAB2D-2881-4B71-BD34-0820C1BE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6108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66</xdr:row>
      <xdr:rowOff>41910</xdr:rowOff>
    </xdr:from>
    <xdr:to>
      <xdr:col>3</xdr:col>
      <xdr:colOff>185790</xdr:colOff>
      <xdr:row>66</xdr:row>
      <xdr:rowOff>149910</xdr:rowOff>
    </xdr:to>
    <xdr:pic>
      <xdr:nvPicPr>
        <xdr:cNvPr id="277" name="Picture 276" descr="Colombia">
          <a:extLst>
            <a:ext uri="{FF2B5EF4-FFF2-40B4-BE49-F238E27FC236}">
              <a16:creationId xmlns:a16="http://schemas.microsoft.com/office/drawing/2014/main" xmlns="" id="{01F43B04-AB37-4659-AC44-74F081BA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207389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68</xdr:row>
      <xdr:rowOff>45720</xdr:rowOff>
    </xdr:from>
    <xdr:to>
      <xdr:col>3</xdr:col>
      <xdr:colOff>185790</xdr:colOff>
      <xdr:row>68</xdr:row>
      <xdr:rowOff>153720</xdr:rowOff>
    </xdr:to>
    <xdr:pic>
      <xdr:nvPicPr>
        <xdr:cNvPr id="278" name="Picture 277" descr="Japan">
          <a:extLst>
            <a:ext uri="{FF2B5EF4-FFF2-40B4-BE49-F238E27FC236}">
              <a16:creationId xmlns:a16="http://schemas.microsoft.com/office/drawing/2014/main" xmlns="" id="{296A5ED7-F977-4FA6-A3F3-5FF1C179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244346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67</xdr:row>
      <xdr:rowOff>34290</xdr:rowOff>
    </xdr:from>
    <xdr:to>
      <xdr:col>3</xdr:col>
      <xdr:colOff>185790</xdr:colOff>
      <xdr:row>67</xdr:row>
      <xdr:rowOff>142290</xdr:rowOff>
    </xdr:to>
    <xdr:pic>
      <xdr:nvPicPr>
        <xdr:cNvPr id="279" name="Picture 278" descr="Poland">
          <a:extLst>
            <a:ext uri="{FF2B5EF4-FFF2-40B4-BE49-F238E27FC236}">
              <a16:creationId xmlns:a16="http://schemas.microsoft.com/office/drawing/2014/main" xmlns="" id="{B3D46CED-957B-4DB0-A3D2-75BF8F7A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22491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71</xdr:row>
      <xdr:rowOff>45720</xdr:rowOff>
    </xdr:from>
    <xdr:to>
      <xdr:col>3</xdr:col>
      <xdr:colOff>181980</xdr:colOff>
      <xdr:row>71</xdr:row>
      <xdr:rowOff>153720</xdr:rowOff>
    </xdr:to>
    <xdr:pic>
      <xdr:nvPicPr>
        <xdr:cNvPr id="280" name="Picture 279" descr="Senegal">
          <a:extLst>
            <a:ext uri="{FF2B5EF4-FFF2-40B4-BE49-F238E27FC236}">
              <a16:creationId xmlns:a16="http://schemas.microsoft.com/office/drawing/2014/main" xmlns="" id="{A8A59631-FB59-41E5-AAE6-1A636B04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99210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41</xdr:row>
      <xdr:rowOff>45721</xdr:rowOff>
    </xdr:from>
    <xdr:to>
      <xdr:col>3</xdr:col>
      <xdr:colOff>185071</xdr:colOff>
      <xdr:row>41</xdr:row>
      <xdr:rowOff>150718</xdr:rowOff>
    </xdr:to>
    <xdr:pic>
      <xdr:nvPicPr>
        <xdr:cNvPr id="281" name="Picture 280" descr="Brazil">
          <a:extLst>
            <a:ext uri="{FF2B5EF4-FFF2-40B4-BE49-F238E27FC236}">
              <a16:creationId xmlns:a16="http://schemas.microsoft.com/office/drawing/2014/main" xmlns="" id="{63A69C1D-C0B0-4B85-9811-69CB36EB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75057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26671</xdr:colOff>
      <xdr:row>43</xdr:row>
      <xdr:rowOff>41911</xdr:rowOff>
    </xdr:from>
    <xdr:to>
      <xdr:col>5</xdr:col>
      <xdr:colOff>185071</xdr:colOff>
      <xdr:row>43</xdr:row>
      <xdr:rowOff>146908</xdr:rowOff>
    </xdr:to>
    <xdr:pic>
      <xdr:nvPicPr>
        <xdr:cNvPr id="282" name="Picture 281" descr="Brazil">
          <a:extLst>
            <a:ext uri="{FF2B5EF4-FFF2-40B4-BE49-F238E27FC236}">
              <a16:creationId xmlns:a16="http://schemas.microsoft.com/office/drawing/2014/main" xmlns="" id="{CB6AFA86-BCDE-45A9-995F-CAE3510A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1" y="786765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30481</xdr:colOff>
      <xdr:row>44</xdr:row>
      <xdr:rowOff>49531</xdr:rowOff>
    </xdr:from>
    <xdr:to>
      <xdr:col>5</xdr:col>
      <xdr:colOff>188881</xdr:colOff>
      <xdr:row>44</xdr:row>
      <xdr:rowOff>154528</xdr:rowOff>
    </xdr:to>
    <xdr:pic>
      <xdr:nvPicPr>
        <xdr:cNvPr id="283" name="Picture 282" descr="Costa Rica">
          <a:extLst>
            <a:ext uri="{FF2B5EF4-FFF2-40B4-BE49-F238E27FC236}">
              <a16:creationId xmlns:a16="http://schemas.microsoft.com/office/drawing/2014/main" xmlns="" id="{412F8243-A032-406F-BCC2-B965AC21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0291" y="805815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26671</xdr:colOff>
      <xdr:row>41</xdr:row>
      <xdr:rowOff>45721</xdr:rowOff>
    </xdr:from>
    <xdr:to>
      <xdr:col>5</xdr:col>
      <xdr:colOff>185071</xdr:colOff>
      <xdr:row>41</xdr:row>
      <xdr:rowOff>150718</xdr:rowOff>
    </xdr:to>
    <xdr:pic>
      <xdr:nvPicPr>
        <xdr:cNvPr id="284" name="Picture 283" descr="Costa Rica">
          <a:extLst>
            <a:ext uri="{FF2B5EF4-FFF2-40B4-BE49-F238E27FC236}">
              <a16:creationId xmlns:a16="http://schemas.microsoft.com/office/drawing/2014/main" xmlns="" id="{665D0D04-E025-4535-A65D-14E5AB90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1" y="75057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22861</xdr:colOff>
      <xdr:row>42</xdr:row>
      <xdr:rowOff>45721</xdr:rowOff>
    </xdr:from>
    <xdr:to>
      <xdr:col>5</xdr:col>
      <xdr:colOff>181261</xdr:colOff>
      <xdr:row>42</xdr:row>
      <xdr:rowOff>150718</xdr:rowOff>
    </xdr:to>
    <xdr:pic>
      <xdr:nvPicPr>
        <xdr:cNvPr id="285" name="Picture 284" descr="Switzerland">
          <a:extLst>
            <a:ext uri="{FF2B5EF4-FFF2-40B4-BE49-F238E27FC236}">
              <a16:creationId xmlns:a16="http://schemas.microsoft.com/office/drawing/2014/main" xmlns="" id="{F164C0F0-5EB2-4769-A4E6-EC44BCD4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1" y="768858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26671</xdr:colOff>
      <xdr:row>40</xdr:row>
      <xdr:rowOff>38101</xdr:rowOff>
    </xdr:from>
    <xdr:to>
      <xdr:col>5</xdr:col>
      <xdr:colOff>185071</xdr:colOff>
      <xdr:row>40</xdr:row>
      <xdr:rowOff>143098</xdr:rowOff>
    </xdr:to>
    <xdr:pic>
      <xdr:nvPicPr>
        <xdr:cNvPr id="286" name="Picture 285" descr="Switzerland">
          <a:extLst>
            <a:ext uri="{FF2B5EF4-FFF2-40B4-BE49-F238E27FC236}">
              <a16:creationId xmlns:a16="http://schemas.microsoft.com/office/drawing/2014/main" xmlns="" id="{EA568BA1-D8F0-42D6-9BD7-758CBAFF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1" y="73152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19051</xdr:colOff>
      <xdr:row>43</xdr:row>
      <xdr:rowOff>49531</xdr:rowOff>
    </xdr:from>
    <xdr:to>
      <xdr:col>3</xdr:col>
      <xdr:colOff>177451</xdr:colOff>
      <xdr:row>43</xdr:row>
      <xdr:rowOff>154528</xdr:rowOff>
    </xdr:to>
    <xdr:pic>
      <xdr:nvPicPr>
        <xdr:cNvPr id="287" name="Picture 286" descr="Serbia">
          <a:extLst>
            <a:ext uri="{FF2B5EF4-FFF2-40B4-BE49-F238E27FC236}">
              <a16:creationId xmlns:a16="http://schemas.microsoft.com/office/drawing/2014/main" xmlns="" id="{FCB9AC96-2163-41BC-8108-C983F0AD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1" y="787527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22861</xdr:colOff>
      <xdr:row>42</xdr:row>
      <xdr:rowOff>53341</xdr:rowOff>
    </xdr:from>
    <xdr:to>
      <xdr:col>3</xdr:col>
      <xdr:colOff>181261</xdr:colOff>
      <xdr:row>42</xdr:row>
      <xdr:rowOff>158338</xdr:rowOff>
    </xdr:to>
    <xdr:pic>
      <xdr:nvPicPr>
        <xdr:cNvPr id="288" name="Picture 287" descr="Serbia">
          <a:extLst>
            <a:ext uri="{FF2B5EF4-FFF2-40B4-BE49-F238E27FC236}">
              <a16:creationId xmlns:a16="http://schemas.microsoft.com/office/drawing/2014/main" xmlns="" id="{82247BB4-C92C-4A9C-980E-21D3E347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1" y="769620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70</xdr:row>
      <xdr:rowOff>45720</xdr:rowOff>
    </xdr:from>
    <xdr:to>
      <xdr:col>3</xdr:col>
      <xdr:colOff>181980</xdr:colOff>
      <xdr:row>70</xdr:row>
      <xdr:rowOff>153720</xdr:rowOff>
    </xdr:to>
    <xdr:pic>
      <xdr:nvPicPr>
        <xdr:cNvPr id="289" name="Picture 288" descr="Japan">
          <a:extLst>
            <a:ext uri="{FF2B5EF4-FFF2-40B4-BE49-F238E27FC236}">
              <a16:creationId xmlns:a16="http://schemas.microsoft.com/office/drawing/2014/main" xmlns="" id="{313306BE-98F1-418D-9D83-33037AD4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80922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</xdr:colOff>
      <xdr:row>66</xdr:row>
      <xdr:rowOff>41910</xdr:rowOff>
    </xdr:from>
    <xdr:to>
      <xdr:col>5</xdr:col>
      <xdr:colOff>170550</xdr:colOff>
      <xdr:row>66</xdr:row>
      <xdr:rowOff>149910</xdr:rowOff>
    </xdr:to>
    <xdr:pic>
      <xdr:nvPicPr>
        <xdr:cNvPr id="290" name="Picture 289" descr="Japan">
          <a:extLst>
            <a:ext uri="{FF2B5EF4-FFF2-40B4-BE49-F238E27FC236}">
              <a16:creationId xmlns:a16="http://schemas.microsoft.com/office/drawing/2014/main" xmlns="" id="{BCAA8F78-9BF9-4706-8B9C-F45707A3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430" y="1207389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70</xdr:row>
      <xdr:rowOff>30480</xdr:rowOff>
    </xdr:from>
    <xdr:to>
      <xdr:col>5</xdr:col>
      <xdr:colOff>181980</xdr:colOff>
      <xdr:row>70</xdr:row>
      <xdr:rowOff>138480</xdr:rowOff>
    </xdr:to>
    <xdr:pic>
      <xdr:nvPicPr>
        <xdr:cNvPr id="291" name="Picture 290" descr="Poland">
          <a:extLst>
            <a:ext uri="{FF2B5EF4-FFF2-40B4-BE49-F238E27FC236}">
              <a16:creationId xmlns:a16="http://schemas.microsoft.com/office/drawing/2014/main" xmlns="" id="{9213A570-C69B-4954-8AA6-617C7B34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1279398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69</xdr:row>
      <xdr:rowOff>30480</xdr:rowOff>
    </xdr:from>
    <xdr:to>
      <xdr:col>3</xdr:col>
      <xdr:colOff>185790</xdr:colOff>
      <xdr:row>69</xdr:row>
      <xdr:rowOff>138480</xdr:rowOff>
    </xdr:to>
    <xdr:pic>
      <xdr:nvPicPr>
        <xdr:cNvPr id="292" name="Picture 291" descr="Poland">
          <a:extLst>
            <a:ext uri="{FF2B5EF4-FFF2-40B4-BE49-F238E27FC236}">
              <a16:creationId xmlns:a16="http://schemas.microsoft.com/office/drawing/2014/main" xmlns="" id="{DB8AEE44-FB99-45E3-ADF3-182FC4E5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261110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26670</xdr:colOff>
      <xdr:row>69</xdr:row>
      <xdr:rowOff>38100</xdr:rowOff>
    </xdr:from>
    <xdr:to>
      <xdr:col>5</xdr:col>
      <xdr:colOff>189600</xdr:colOff>
      <xdr:row>69</xdr:row>
      <xdr:rowOff>146100</xdr:rowOff>
    </xdr:to>
    <xdr:pic>
      <xdr:nvPicPr>
        <xdr:cNvPr id="293" name="Picture 292" descr="Colombia">
          <a:extLst>
            <a:ext uri="{FF2B5EF4-FFF2-40B4-BE49-F238E27FC236}">
              <a16:creationId xmlns:a16="http://schemas.microsoft.com/office/drawing/2014/main" xmlns="" id="{800826B5-5B8D-4715-B8FA-E3A27616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" y="1261872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22860</xdr:colOff>
      <xdr:row>71</xdr:row>
      <xdr:rowOff>41910</xdr:rowOff>
    </xdr:from>
    <xdr:to>
      <xdr:col>5</xdr:col>
      <xdr:colOff>185790</xdr:colOff>
      <xdr:row>71</xdr:row>
      <xdr:rowOff>149910</xdr:rowOff>
    </xdr:to>
    <xdr:pic>
      <xdr:nvPicPr>
        <xdr:cNvPr id="294" name="Picture 293" descr="Colombia">
          <a:extLst>
            <a:ext uri="{FF2B5EF4-FFF2-40B4-BE49-F238E27FC236}">
              <a16:creationId xmlns:a16="http://schemas.microsoft.com/office/drawing/2014/main" xmlns="" id="{6F780E2B-A25C-4AB0-A469-B9F1212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670" y="1298829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67</xdr:row>
      <xdr:rowOff>41910</xdr:rowOff>
    </xdr:from>
    <xdr:to>
      <xdr:col>5</xdr:col>
      <xdr:colOff>181980</xdr:colOff>
      <xdr:row>67</xdr:row>
      <xdr:rowOff>149910</xdr:rowOff>
    </xdr:to>
    <xdr:pic>
      <xdr:nvPicPr>
        <xdr:cNvPr id="295" name="Picture 294" descr="Senegal">
          <a:extLst>
            <a:ext uri="{FF2B5EF4-FFF2-40B4-BE49-F238E27FC236}">
              <a16:creationId xmlns:a16="http://schemas.microsoft.com/office/drawing/2014/main" xmlns="" id="{3A9095C6-A573-4422-93FD-F5C743F2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1225677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68</xdr:row>
      <xdr:rowOff>41910</xdr:rowOff>
    </xdr:from>
    <xdr:to>
      <xdr:col>5</xdr:col>
      <xdr:colOff>181980</xdr:colOff>
      <xdr:row>68</xdr:row>
      <xdr:rowOff>149910</xdr:rowOff>
    </xdr:to>
    <xdr:pic>
      <xdr:nvPicPr>
        <xdr:cNvPr id="296" name="Picture 295" descr="Senegal">
          <a:extLst>
            <a:ext uri="{FF2B5EF4-FFF2-40B4-BE49-F238E27FC236}">
              <a16:creationId xmlns:a16="http://schemas.microsoft.com/office/drawing/2014/main" xmlns="" id="{ACC45ABE-098E-423A-A9E8-69659840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124396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60</xdr:row>
      <xdr:rowOff>53340</xdr:rowOff>
    </xdr:from>
    <xdr:to>
      <xdr:col>5</xdr:col>
      <xdr:colOff>178170</xdr:colOff>
      <xdr:row>60</xdr:row>
      <xdr:rowOff>161340</xdr:rowOff>
    </xdr:to>
    <xdr:pic>
      <xdr:nvPicPr>
        <xdr:cNvPr id="297" name="Picture 296" descr="Panama">
          <a:extLst>
            <a:ext uri="{FF2B5EF4-FFF2-40B4-BE49-F238E27FC236}">
              <a16:creationId xmlns:a16="http://schemas.microsoft.com/office/drawing/2014/main" xmlns="" id="{6E660E10-7B74-4643-B8FC-5FCF0777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98804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</xdr:colOff>
      <xdr:row>61</xdr:row>
      <xdr:rowOff>53340</xdr:rowOff>
    </xdr:from>
    <xdr:to>
      <xdr:col>3</xdr:col>
      <xdr:colOff>189600</xdr:colOff>
      <xdr:row>61</xdr:row>
      <xdr:rowOff>161340</xdr:rowOff>
    </xdr:to>
    <xdr:pic>
      <xdr:nvPicPr>
        <xdr:cNvPr id="298" name="Picture 297" descr="Panama">
          <a:extLst>
            <a:ext uri="{FF2B5EF4-FFF2-40B4-BE49-F238E27FC236}">
              <a16:creationId xmlns:a16="http://schemas.microsoft.com/office/drawing/2014/main" xmlns="" id="{2E2E14A5-A3DB-413A-8387-FF102333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17092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62</xdr:row>
      <xdr:rowOff>41910</xdr:rowOff>
    </xdr:from>
    <xdr:to>
      <xdr:col>3</xdr:col>
      <xdr:colOff>185790</xdr:colOff>
      <xdr:row>62</xdr:row>
      <xdr:rowOff>149910</xdr:rowOff>
    </xdr:to>
    <xdr:pic>
      <xdr:nvPicPr>
        <xdr:cNvPr id="299" name="Picture 298" descr="England">
          <a:extLst>
            <a:ext uri="{FF2B5EF4-FFF2-40B4-BE49-F238E27FC236}">
              <a16:creationId xmlns:a16="http://schemas.microsoft.com/office/drawing/2014/main" xmlns="" id="{47BC6943-3886-4791-9922-281A3A69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134237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60</xdr:row>
      <xdr:rowOff>38100</xdr:rowOff>
    </xdr:from>
    <xdr:to>
      <xdr:col>3</xdr:col>
      <xdr:colOff>185790</xdr:colOff>
      <xdr:row>60</xdr:row>
      <xdr:rowOff>146100</xdr:rowOff>
    </xdr:to>
    <xdr:pic>
      <xdr:nvPicPr>
        <xdr:cNvPr id="300" name="Picture 299" descr="England">
          <a:extLst>
            <a:ext uri="{FF2B5EF4-FFF2-40B4-BE49-F238E27FC236}">
              <a16:creationId xmlns:a16="http://schemas.microsoft.com/office/drawing/2014/main" xmlns="" id="{A185FD86-40F6-40EB-8C8C-EAC75E91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097280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</xdr:colOff>
      <xdr:row>61</xdr:row>
      <xdr:rowOff>49530</xdr:rowOff>
    </xdr:from>
    <xdr:to>
      <xdr:col>5</xdr:col>
      <xdr:colOff>174360</xdr:colOff>
      <xdr:row>61</xdr:row>
      <xdr:rowOff>157530</xdr:rowOff>
    </xdr:to>
    <xdr:pic>
      <xdr:nvPicPr>
        <xdr:cNvPr id="301" name="Picture 300" descr="Tunisia">
          <a:extLst>
            <a:ext uri="{FF2B5EF4-FFF2-40B4-BE49-F238E27FC236}">
              <a16:creationId xmlns:a16="http://schemas.microsoft.com/office/drawing/2014/main" xmlns="" id="{B3A35C15-B0F3-458E-8CB5-1E95E473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240" y="1116711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59</xdr:row>
      <xdr:rowOff>49530</xdr:rowOff>
    </xdr:from>
    <xdr:to>
      <xdr:col>5</xdr:col>
      <xdr:colOff>178170</xdr:colOff>
      <xdr:row>59</xdr:row>
      <xdr:rowOff>157530</xdr:rowOff>
    </xdr:to>
    <xdr:pic>
      <xdr:nvPicPr>
        <xdr:cNvPr id="302" name="Picture 301" descr="Tunisia">
          <a:extLst>
            <a:ext uri="{FF2B5EF4-FFF2-40B4-BE49-F238E27FC236}">
              <a16:creationId xmlns:a16="http://schemas.microsoft.com/office/drawing/2014/main" xmlns="" id="{8A986600-0A80-4C08-8B39-D44787E2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013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59</xdr:row>
      <xdr:rowOff>49530</xdr:rowOff>
    </xdr:from>
    <xdr:to>
      <xdr:col>3</xdr:col>
      <xdr:colOff>185790</xdr:colOff>
      <xdr:row>59</xdr:row>
      <xdr:rowOff>157530</xdr:rowOff>
    </xdr:to>
    <xdr:pic>
      <xdr:nvPicPr>
        <xdr:cNvPr id="303" name="Picture 302" descr="Belgium">
          <a:extLst>
            <a:ext uri="{FF2B5EF4-FFF2-40B4-BE49-F238E27FC236}">
              <a16:creationId xmlns:a16="http://schemas.microsoft.com/office/drawing/2014/main" xmlns="" id="{11B0AD1C-FCBA-4D9F-A53C-B6224BE4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08013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62</xdr:row>
      <xdr:rowOff>45720</xdr:rowOff>
    </xdr:from>
    <xdr:to>
      <xdr:col>5</xdr:col>
      <xdr:colOff>178170</xdr:colOff>
      <xdr:row>62</xdr:row>
      <xdr:rowOff>153720</xdr:rowOff>
    </xdr:to>
    <xdr:pic>
      <xdr:nvPicPr>
        <xdr:cNvPr id="304" name="Picture 303" descr="Belgium">
          <a:extLst>
            <a:ext uri="{FF2B5EF4-FFF2-40B4-BE49-F238E27FC236}">
              <a16:creationId xmlns:a16="http://schemas.microsoft.com/office/drawing/2014/main" xmlns="" id="{CE199AB7-F046-4CF7-B23C-2D71CD22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34618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15240</xdr:colOff>
      <xdr:row>50</xdr:row>
      <xdr:rowOff>45720</xdr:rowOff>
    </xdr:from>
    <xdr:to>
      <xdr:col>5</xdr:col>
      <xdr:colOff>178170</xdr:colOff>
      <xdr:row>50</xdr:row>
      <xdr:rowOff>153720</xdr:rowOff>
    </xdr:to>
    <xdr:pic>
      <xdr:nvPicPr>
        <xdr:cNvPr id="305" name="Picture 304" descr="Mexico">
          <a:extLst>
            <a:ext uri="{FF2B5EF4-FFF2-40B4-BE49-F238E27FC236}">
              <a16:creationId xmlns:a16="http://schemas.microsoft.com/office/drawing/2014/main" xmlns="" id="{1F58D428-90D7-46FD-A592-5BFDC414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15162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52</xdr:row>
      <xdr:rowOff>45720</xdr:rowOff>
    </xdr:from>
    <xdr:to>
      <xdr:col>3</xdr:col>
      <xdr:colOff>185790</xdr:colOff>
      <xdr:row>52</xdr:row>
      <xdr:rowOff>153720</xdr:rowOff>
    </xdr:to>
    <xdr:pic>
      <xdr:nvPicPr>
        <xdr:cNvPr id="306" name="Picture 305" descr="Mexico">
          <a:extLst>
            <a:ext uri="{FF2B5EF4-FFF2-40B4-BE49-F238E27FC236}">
              <a16:creationId xmlns:a16="http://schemas.microsoft.com/office/drawing/2014/main" xmlns="" id="{B8D6CAE1-4C81-41F9-BF5D-84DEBDD7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951738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50</xdr:row>
      <xdr:rowOff>41910</xdr:rowOff>
    </xdr:from>
    <xdr:to>
      <xdr:col>3</xdr:col>
      <xdr:colOff>181980</xdr:colOff>
      <xdr:row>50</xdr:row>
      <xdr:rowOff>149910</xdr:rowOff>
    </xdr:to>
    <xdr:pic>
      <xdr:nvPicPr>
        <xdr:cNvPr id="307" name="Picture 306" descr="Korea Republic">
          <a:extLst>
            <a:ext uri="{FF2B5EF4-FFF2-40B4-BE49-F238E27FC236}">
              <a16:creationId xmlns:a16="http://schemas.microsoft.com/office/drawing/2014/main" xmlns="" id="{5C75D11E-6EE6-4D61-B9D5-6477C7B9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914781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53</xdr:row>
      <xdr:rowOff>41910</xdr:rowOff>
    </xdr:from>
    <xdr:to>
      <xdr:col>3</xdr:col>
      <xdr:colOff>185790</xdr:colOff>
      <xdr:row>53</xdr:row>
      <xdr:rowOff>149910</xdr:rowOff>
    </xdr:to>
    <xdr:pic>
      <xdr:nvPicPr>
        <xdr:cNvPr id="308" name="Picture 307" descr="Korea Republic">
          <a:extLst>
            <a:ext uri="{FF2B5EF4-FFF2-40B4-BE49-F238E27FC236}">
              <a16:creationId xmlns:a16="http://schemas.microsoft.com/office/drawing/2014/main" xmlns="" id="{776650DB-7E1C-41BF-967F-ABA58F66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969645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53</xdr:row>
      <xdr:rowOff>49530</xdr:rowOff>
    </xdr:from>
    <xdr:to>
      <xdr:col>5</xdr:col>
      <xdr:colOff>181980</xdr:colOff>
      <xdr:row>53</xdr:row>
      <xdr:rowOff>157530</xdr:rowOff>
    </xdr:to>
    <xdr:pic>
      <xdr:nvPicPr>
        <xdr:cNvPr id="309" name="Picture 308" descr="Germany">
          <a:extLst>
            <a:ext uri="{FF2B5EF4-FFF2-40B4-BE49-F238E27FC236}">
              <a16:creationId xmlns:a16="http://schemas.microsoft.com/office/drawing/2014/main" xmlns="" id="{9EE19210-CD69-4CEF-9D39-8F88C341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970407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51</xdr:row>
      <xdr:rowOff>45720</xdr:rowOff>
    </xdr:from>
    <xdr:to>
      <xdr:col>3</xdr:col>
      <xdr:colOff>181980</xdr:colOff>
      <xdr:row>51</xdr:row>
      <xdr:rowOff>153720</xdr:rowOff>
    </xdr:to>
    <xdr:pic>
      <xdr:nvPicPr>
        <xdr:cNvPr id="310" name="Picture 309" descr="Germany">
          <a:extLst>
            <a:ext uri="{FF2B5EF4-FFF2-40B4-BE49-F238E27FC236}">
              <a16:creationId xmlns:a16="http://schemas.microsoft.com/office/drawing/2014/main" xmlns="" id="{A31FC190-6754-47E5-B6BD-C5104AE9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933450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52</xdr:row>
      <xdr:rowOff>41910</xdr:rowOff>
    </xdr:from>
    <xdr:to>
      <xdr:col>5</xdr:col>
      <xdr:colOff>181980</xdr:colOff>
      <xdr:row>52</xdr:row>
      <xdr:rowOff>149910</xdr:rowOff>
    </xdr:to>
    <xdr:pic>
      <xdr:nvPicPr>
        <xdr:cNvPr id="311" name="Picture 310" descr="Sweden">
          <a:extLst>
            <a:ext uri="{FF2B5EF4-FFF2-40B4-BE49-F238E27FC236}">
              <a16:creationId xmlns:a16="http://schemas.microsoft.com/office/drawing/2014/main" xmlns="" id="{009E8381-0F52-4D74-9479-E4EDE94C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951357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</xdr:colOff>
      <xdr:row>51</xdr:row>
      <xdr:rowOff>38100</xdr:rowOff>
    </xdr:from>
    <xdr:to>
      <xdr:col>5</xdr:col>
      <xdr:colOff>181980</xdr:colOff>
      <xdr:row>51</xdr:row>
      <xdr:rowOff>146100</xdr:rowOff>
    </xdr:to>
    <xdr:pic>
      <xdr:nvPicPr>
        <xdr:cNvPr id="312" name="Picture 311" descr="Sweden">
          <a:extLst>
            <a:ext uri="{FF2B5EF4-FFF2-40B4-BE49-F238E27FC236}">
              <a16:creationId xmlns:a16="http://schemas.microsoft.com/office/drawing/2014/main" xmlns="" id="{072B87D3-81E5-44AC-BE59-4C1A3CC5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" y="9326880"/>
          <a:ext cx="162930" cy="1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238126</xdr:colOff>
      <xdr:row>54</xdr:row>
      <xdr:rowOff>9525</xdr:rowOff>
    </xdr:from>
    <xdr:to>
      <xdr:col>22</xdr:col>
      <xdr:colOff>262931</xdr:colOff>
      <xdr:row>77</xdr:row>
      <xdr:rowOff>57149</xdr:rowOff>
    </xdr:to>
    <xdr:pic>
      <xdr:nvPicPr>
        <xdr:cNvPr id="313" name="Picture 312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6A2122B0-9F93-4060-9379-0440C251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1" y="974407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238126</xdr:colOff>
      <xdr:row>78</xdr:row>
      <xdr:rowOff>133350</xdr:rowOff>
    </xdr:from>
    <xdr:to>
      <xdr:col>22</xdr:col>
      <xdr:colOff>262931</xdr:colOff>
      <xdr:row>102</xdr:row>
      <xdr:rowOff>3174</xdr:rowOff>
    </xdr:to>
    <xdr:pic>
      <xdr:nvPicPr>
        <xdr:cNvPr id="314" name="Picture 313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C4774946-C85F-4786-81D0-4ABD7797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1" y="14211300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352426</xdr:colOff>
      <xdr:row>78</xdr:row>
      <xdr:rowOff>114300</xdr:rowOff>
    </xdr:from>
    <xdr:to>
      <xdr:col>71</xdr:col>
      <xdr:colOff>405806</xdr:colOff>
      <xdr:row>101</xdr:row>
      <xdr:rowOff>161924</xdr:rowOff>
    </xdr:to>
    <xdr:pic>
      <xdr:nvPicPr>
        <xdr:cNvPr id="315" name="Picture 314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B7C195F5-7553-4240-A025-E3647DA3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1" y="14192250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247651</xdr:colOff>
      <xdr:row>54</xdr:row>
      <xdr:rowOff>28575</xdr:rowOff>
    </xdr:from>
    <xdr:to>
      <xdr:col>71</xdr:col>
      <xdr:colOff>301031</xdr:colOff>
      <xdr:row>77</xdr:row>
      <xdr:rowOff>76199</xdr:rowOff>
    </xdr:to>
    <xdr:pic>
      <xdr:nvPicPr>
        <xdr:cNvPr id="316" name="Picture 315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B3A2E84F-D202-4C84-8AF3-3790741A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6" y="976312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47626</xdr:colOff>
      <xdr:row>30</xdr:row>
      <xdr:rowOff>28575</xdr:rowOff>
    </xdr:from>
    <xdr:to>
      <xdr:col>22</xdr:col>
      <xdr:colOff>72431</xdr:colOff>
      <xdr:row>53</xdr:row>
      <xdr:rowOff>76199</xdr:rowOff>
    </xdr:to>
    <xdr:pic>
      <xdr:nvPicPr>
        <xdr:cNvPr id="317" name="Picture 316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6A0745DC-F818-43E4-8CDE-44319F5F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1" y="541972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47626</xdr:colOff>
      <xdr:row>5</xdr:row>
      <xdr:rowOff>171450</xdr:rowOff>
    </xdr:from>
    <xdr:to>
      <xdr:col>22</xdr:col>
      <xdr:colOff>72431</xdr:colOff>
      <xdr:row>29</xdr:row>
      <xdr:rowOff>57149</xdr:rowOff>
    </xdr:to>
    <xdr:pic>
      <xdr:nvPicPr>
        <xdr:cNvPr id="318" name="Picture 317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F80F9E0F-E1F4-4963-AFE4-6CA2E05C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1" y="105727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581026</xdr:colOff>
      <xdr:row>53</xdr:row>
      <xdr:rowOff>142875</xdr:rowOff>
    </xdr:from>
    <xdr:to>
      <xdr:col>78</xdr:col>
      <xdr:colOff>129581</xdr:colOff>
      <xdr:row>77</xdr:row>
      <xdr:rowOff>9524</xdr:rowOff>
    </xdr:to>
    <xdr:pic>
      <xdr:nvPicPr>
        <xdr:cNvPr id="319" name="Picture 318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97713948-597F-4A4F-B9C5-1036900D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1" y="9696450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581026</xdr:colOff>
      <xdr:row>78</xdr:row>
      <xdr:rowOff>85725</xdr:rowOff>
    </xdr:from>
    <xdr:to>
      <xdr:col>78</xdr:col>
      <xdr:colOff>129581</xdr:colOff>
      <xdr:row>101</xdr:row>
      <xdr:rowOff>133349</xdr:rowOff>
    </xdr:to>
    <xdr:pic>
      <xdr:nvPicPr>
        <xdr:cNvPr id="320" name="Picture 319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7BAEE26E-C02F-4025-9A45-C95B961D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1" y="1416367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504826</xdr:colOff>
      <xdr:row>29</xdr:row>
      <xdr:rowOff>161925</xdr:rowOff>
    </xdr:from>
    <xdr:to>
      <xdr:col>78</xdr:col>
      <xdr:colOff>53381</xdr:colOff>
      <xdr:row>53</xdr:row>
      <xdr:rowOff>28574</xdr:rowOff>
    </xdr:to>
    <xdr:pic>
      <xdr:nvPicPr>
        <xdr:cNvPr id="321" name="Picture 320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6089F069-07E9-4027-AE91-41671BDB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1" y="5372100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514351</xdr:colOff>
      <xdr:row>5</xdr:row>
      <xdr:rowOff>123825</xdr:rowOff>
    </xdr:from>
    <xdr:to>
      <xdr:col>78</xdr:col>
      <xdr:colOff>62906</xdr:colOff>
      <xdr:row>29</xdr:row>
      <xdr:rowOff>9524</xdr:rowOff>
    </xdr:to>
    <xdr:pic>
      <xdr:nvPicPr>
        <xdr:cNvPr id="322" name="Picture 321" descr="Image result for fifa world cup 201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A72C1F9F-C899-4692-99DA-29AFF083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9726" y="1009650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20475</xdr:colOff>
      <xdr:row>3</xdr:row>
      <xdr:rowOff>22860</xdr:rowOff>
    </xdr:from>
    <xdr:to>
      <xdr:col>3</xdr:col>
      <xdr:colOff>178843</xdr:colOff>
      <xdr:row>3</xdr:row>
      <xdr:rowOff>128949</xdr:rowOff>
    </xdr:to>
    <xdr:pic>
      <xdr:nvPicPr>
        <xdr:cNvPr id="120" name="Picture 119" descr="Russia">
          <a:extLst>
            <a:ext uri="{FF2B5EF4-FFF2-40B4-BE49-F238E27FC236}">
              <a16:creationId xmlns:a16="http://schemas.microsoft.com/office/drawing/2014/main" xmlns="" id="{08E9D9EA-BB16-4E2C-A2D2-AECA7E7C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05" y="571500"/>
          <a:ext cx="158368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15736</xdr:colOff>
      <xdr:row>5</xdr:row>
      <xdr:rowOff>31042</xdr:rowOff>
    </xdr:from>
    <xdr:to>
      <xdr:col>3</xdr:col>
      <xdr:colOff>174104</xdr:colOff>
      <xdr:row>5</xdr:row>
      <xdr:rowOff>137131</xdr:rowOff>
    </xdr:to>
    <xdr:pic>
      <xdr:nvPicPr>
        <xdr:cNvPr id="121" name="Picture 120" descr="Russia">
          <a:extLst>
            <a:ext uri="{FF2B5EF4-FFF2-40B4-BE49-F238E27FC236}">
              <a16:creationId xmlns:a16="http://schemas.microsoft.com/office/drawing/2014/main" xmlns="" id="{14ECCA2F-1B9B-43C9-AD5E-F0112581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766" y="945442"/>
          <a:ext cx="158368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8488</xdr:colOff>
      <xdr:row>7</xdr:row>
      <xdr:rowOff>30113</xdr:rowOff>
    </xdr:from>
    <xdr:to>
      <xdr:col>5</xdr:col>
      <xdr:colOff>168761</xdr:colOff>
      <xdr:row>7</xdr:row>
      <xdr:rowOff>136202</xdr:rowOff>
    </xdr:to>
    <xdr:pic>
      <xdr:nvPicPr>
        <xdr:cNvPr id="122" name="Picture 121" descr="Russia">
          <a:extLst>
            <a:ext uri="{FF2B5EF4-FFF2-40B4-BE49-F238E27FC236}">
              <a16:creationId xmlns:a16="http://schemas.microsoft.com/office/drawing/2014/main" xmlns="" id="{69027429-34AF-4E56-B53E-50A7A8CF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298" y="1310273"/>
          <a:ext cx="160273" cy="106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12034</xdr:colOff>
      <xdr:row>3</xdr:row>
      <xdr:rowOff>40212</xdr:rowOff>
    </xdr:from>
    <xdr:to>
      <xdr:col>5</xdr:col>
      <xdr:colOff>170434</xdr:colOff>
      <xdr:row>3</xdr:row>
      <xdr:rowOff>144306</xdr:rowOff>
    </xdr:to>
    <xdr:pic>
      <xdr:nvPicPr>
        <xdr:cNvPr id="123" name="Picture 122" descr="Saudi Arabia">
          <a:extLst>
            <a:ext uri="{FF2B5EF4-FFF2-40B4-BE49-F238E27FC236}">
              <a16:creationId xmlns:a16="http://schemas.microsoft.com/office/drawing/2014/main" xmlns="" id="{8501A9BA-3293-4296-B88B-937D0FC0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44" y="588852"/>
          <a:ext cx="158400" cy="1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4554</xdr:colOff>
      <xdr:row>6</xdr:row>
      <xdr:rowOff>40351</xdr:rowOff>
    </xdr:from>
    <xdr:to>
      <xdr:col>5</xdr:col>
      <xdr:colOff>164859</xdr:colOff>
      <xdr:row>6</xdr:row>
      <xdr:rowOff>144445</xdr:rowOff>
    </xdr:to>
    <xdr:pic>
      <xdr:nvPicPr>
        <xdr:cNvPr id="124" name="Picture 123" descr="Saudi Arabia">
          <a:extLst>
            <a:ext uri="{FF2B5EF4-FFF2-40B4-BE49-F238E27FC236}">
              <a16:creationId xmlns:a16="http://schemas.microsoft.com/office/drawing/2014/main" xmlns="" id="{5E757342-786F-45ED-9561-F4F0B650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4364" y="1137631"/>
          <a:ext cx="160305" cy="1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9944</xdr:colOff>
      <xdr:row>8</xdr:row>
      <xdr:rowOff>35613</xdr:rowOff>
    </xdr:from>
    <xdr:to>
      <xdr:col>3</xdr:col>
      <xdr:colOff>168344</xdr:colOff>
      <xdr:row>8</xdr:row>
      <xdr:rowOff>139707</xdr:rowOff>
    </xdr:to>
    <xdr:pic>
      <xdr:nvPicPr>
        <xdr:cNvPr id="125" name="Picture 124" descr="Saudi Arabia">
          <a:extLst>
            <a:ext uri="{FF2B5EF4-FFF2-40B4-BE49-F238E27FC236}">
              <a16:creationId xmlns:a16="http://schemas.microsoft.com/office/drawing/2014/main" xmlns="" id="{575A9802-61F5-4011-AA00-298AC7EB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74" y="1498653"/>
          <a:ext cx="158400" cy="1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19421</xdr:colOff>
      <xdr:row>4</xdr:row>
      <xdr:rowOff>42118</xdr:rowOff>
    </xdr:from>
    <xdr:to>
      <xdr:col>3</xdr:col>
      <xdr:colOff>177821</xdr:colOff>
      <xdr:row>4</xdr:row>
      <xdr:rowOff>146430</xdr:rowOff>
    </xdr:to>
    <xdr:pic>
      <xdr:nvPicPr>
        <xdr:cNvPr id="126" name="Picture 125" descr="Egypt">
          <a:extLst>
            <a:ext uri="{FF2B5EF4-FFF2-40B4-BE49-F238E27FC236}">
              <a16:creationId xmlns:a16="http://schemas.microsoft.com/office/drawing/2014/main" xmlns="" id="{8EEC94FF-7074-49ED-A8D7-5D1A8D85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451" y="773638"/>
          <a:ext cx="158400" cy="10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9199</xdr:colOff>
      <xdr:row>8</xdr:row>
      <xdr:rowOff>48809</xdr:rowOff>
    </xdr:from>
    <xdr:to>
      <xdr:col>5</xdr:col>
      <xdr:colOff>169504</xdr:colOff>
      <xdr:row>8</xdr:row>
      <xdr:rowOff>153121</xdr:rowOff>
    </xdr:to>
    <xdr:pic>
      <xdr:nvPicPr>
        <xdr:cNvPr id="127" name="Picture 126" descr="Egypt">
          <a:extLst>
            <a:ext uri="{FF2B5EF4-FFF2-40B4-BE49-F238E27FC236}">
              <a16:creationId xmlns:a16="http://schemas.microsoft.com/office/drawing/2014/main" xmlns="" id="{AEE55A3B-E9A9-4EBA-99BD-F0CB9CC0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009" y="1511849"/>
          <a:ext cx="160305" cy="10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3623</xdr:colOff>
      <xdr:row>5</xdr:row>
      <xdr:rowOff>37518</xdr:rowOff>
    </xdr:from>
    <xdr:to>
      <xdr:col>5</xdr:col>
      <xdr:colOff>163928</xdr:colOff>
      <xdr:row>5</xdr:row>
      <xdr:rowOff>141830</xdr:rowOff>
    </xdr:to>
    <xdr:pic>
      <xdr:nvPicPr>
        <xdr:cNvPr id="128" name="Picture 127" descr="Egypt">
          <a:extLst>
            <a:ext uri="{FF2B5EF4-FFF2-40B4-BE49-F238E27FC236}">
              <a16:creationId xmlns:a16="http://schemas.microsoft.com/office/drawing/2014/main" xmlns="" id="{56FC2E66-455C-4FF7-9BD0-65B5A2BA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433" y="951918"/>
          <a:ext cx="160305" cy="10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3623</xdr:colOff>
      <xdr:row>4</xdr:row>
      <xdr:rowOff>26319</xdr:rowOff>
    </xdr:from>
    <xdr:to>
      <xdr:col>5</xdr:col>
      <xdr:colOff>169877</xdr:colOff>
      <xdr:row>4</xdr:row>
      <xdr:rowOff>134319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910613E5-DE08-425A-A2CE-7C1D038A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93433" y="757839"/>
          <a:ext cx="166254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8177</xdr:colOff>
      <xdr:row>6</xdr:row>
      <xdr:rowOff>39329</xdr:rowOff>
    </xdr:from>
    <xdr:to>
      <xdr:col>3</xdr:col>
      <xdr:colOff>172526</xdr:colOff>
      <xdr:row>6</xdr:row>
      <xdr:rowOff>147329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xmlns="" id="{D8BF4C06-1F05-419B-AD31-57418A006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0207" y="1136609"/>
          <a:ext cx="164349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4274</xdr:colOff>
      <xdr:row>7</xdr:row>
      <xdr:rowOff>40305</xdr:rowOff>
    </xdr:from>
    <xdr:to>
      <xdr:col>3</xdr:col>
      <xdr:colOff>168623</xdr:colOff>
      <xdr:row>7</xdr:row>
      <xdr:rowOff>148305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xmlns="" id="{B18527BF-DD9C-4A05-B098-6A17240FB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06304" y="1320465"/>
          <a:ext cx="164349" cy="10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19051</xdr:colOff>
      <xdr:row>12</xdr:row>
      <xdr:rowOff>52806</xdr:rowOff>
    </xdr:from>
    <xdr:to>
      <xdr:col>3</xdr:col>
      <xdr:colOff>177451</xdr:colOff>
      <xdr:row>12</xdr:row>
      <xdr:rowOff>157803</xdr:rowOff>
    </xdr:to>
    <xdr:pic>
      <xdr:nvPicPr>
        <xdr:cNvPr id="132" name="Picture 131" descr="Morocco">
          <a:extLst>
            <a:ext uri="{FF2B5EF4-FFF2-40B4-BE49-F238E27FC236}">
              <a16:creationId xmlns:a16="http://schemas.microsoft.com/office/drawing/2014/main" xmlns="" id="{0BFD4B44-9706-430D-A233-E88911E8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1" y="224736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5716</xdr:colOff>
      <xdr:row>16</xdr:row>
      <xdr:rowOff>37566</xdr:rowOff>
    </xdr:from>
    <xdr:to>
      <xdr:col>5</xdr:col>
      <xdr:colOff>164116</xdr:colOff>
      <xdr:row>16</xdr:row>
      <xdr:rowOff>142563</xdr:rowOff>
    </xdr:to>
    <xdr:pic>
      <xdr:nvPicPr>
        <xdr:cNvPr id="133" name="Picture 132" descr="Portugal">
          <a:extLst>
            <a:ext uri="{FF2B5EF4-FFF2-40B4-BE49-F238E27FC236}">
              <a16:creationId xmlns:a16="http://schemas.microsoft.com/office/drawing/2014/main" xmlns="" id="{AE3B2C5B-21AE-4493-A091-7840069D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6" y="293316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</xdr:colOff>
      <xdr:row>15</xdr:row>
      <xdr:rowOff>39471</xdr:rowOff>
    </xdr:from>
    <xdr:to>
      <xdr:col>3</xdr:col>
      <xdr:colOff>169830</xdr:colOff>
      <xdr:row>15</xdr:row>
      <xdr:rowOff>143562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xmlns="" id="{13253457-DD4B-4D12-85D1-420B91904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1555" y="275409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13</xdr:row>
      <xdr:rowOff>31851</xdr:rowOff>
    </xdr:from>
    <xdr:to>
      <xdr:col>5</xdr:col>
      <xdr:colOff>167925</xdr:colOff>
      <xdr:row>13</xdr:row>
      <xdr:rowOff>135942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xmlns="" id="{B34E732F-348C-4B10-93DD-5D3D14EFA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95525" y="238452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9526</xdr:colOff>
      <xdr:row>14</xdr:row>
      <xdr:rowOff>37566</xdr:rowOff>
    </xdr:from>
    <xdr:to>
      <xdr:col>5</xdr:col>
      <xdr:colOff>167926</xdr:colOff>
      <xdr:row>14</xdr:row>
      <xdr:rowOff>142563</xdr:rowOff>
    </xdr:to>
    <xdr:pic>
      <xdr:nvPicPr>
        <xdr:cNvPr id="136" name="Picture 135" descr="Morocco">
          <a:extLst>
            <a:ext uri="{FF2B5EF4-FFF2-40B4-BE49-F238E27FC236}">
              <a16:creationId xmlns:a16="http://schemas.microsoft.com/office/drawing/2014/main" xmlns="" id="{151F5B8A-CFC4-42E3-A3D9-DDC1B16F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6" y="257121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9526</xdr:colOff>
      <xdr:row>17</xdr:row>
      <xdr:rowOff>43281</xdr:rowOff>
    </xdr:from>
    <xdr:to>
      <xdr:col>5</xdr:col>
      <xdr:colOff>167926</xdr:colOff>
      <xdr:row>17</xdr:row>
      <xdr:rowOff>148278</xdr:rowOff>
    </xdr:to>
    <xdr:pic>
      <xdr:nvPicPr>
        <xdr:cNvPr id="137" name="Picture 136" descr="Morocco">
          <a:extLst>
            <a:ext uri="{FF2B5EF4-FFF2-40B4-BE49-F238E27FC236}">
              <a16:creationId xmlns:a16="http://schemas.microsoft.com/office/drawing/2014/main" xmlns="" id="{1B2C26D3-6CC9-4F4F-8286-566DB274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6" y="311985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</xdr:colOff>
      <xdr:row>17</xdr:row>
      <xdr:rowOff>39471</xdr:rowOff>
    </xdr:from>
    <xdr:to>
      <xdr:col>3</xdr:col>
      <xdr:colOff>169830</xdr:colOff>
      <xdr:row>17</xdr:row>
      <xdr:rowOff>143562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xmlns="" id="{609FE295-7676-4C3D-8D1D-2261A3146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11555" y="311604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5715</xdr:colOff>
      <xdr:row>15</xdr:row>
      <xdr:rowOff>35661</xdr:rowOff>
    </xdr:from>
    <xdr:to>
      <xdr:col>5</xdr:col>
      <xdr:colOff>164115</xdr:colOff>
      <xdr:row>15</xdr:row>
      <xdr:rowOff>139752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xmlns="" id="{DA5CD26B-33E2-4AAF-867E-40ADB80F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91715" y="275028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12</xdr:row>
      <xdr:rowOff>33756</xdr:rowOff>
    </xdr:from>
    <xdr:to>
      <xdr:col>5</xdr:col>
      <xdr:colOff>167925</xdr:colOff>
      <xdr:row>12</xdr:row>
      <xdr:rowOff>137847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xmlns="" id="{CA39A980-295F-4880-B8E8-BD8048D04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95525" y="220545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</xdr:colOff>
      <xdr:row>16</xdr:row>
      <xdr:rowOff>37566</xdr:rowOff>
    </xdr:from>
    <xdr:to>
      <xdr:col>3</xdr:col>
      <xdr:colOff>169830</xdr:colOff>
      <xdr:row>16</xdr:row>
      <xdr:rowOff>141657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068A19E9-438D-4BA7-9B06-E96586E4B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1555" y="293316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11431</xdr:colOff>
      <xdr:row>14</xdr:row>
      <xdr:rowOff>33756</xdr:rowOff>
    </xdr:from>
    <xdr:to>
      <xdr:col>3</xdr:col>
      <xdr:colOff>169831</xdr:colOff>
      <xdr:row>14</xdr:row>
      <xdr:rowOff>138753</xdr:rowOff>
    </xdr:to>
    <xdr:pic>
      <xdr:nvPicPr>
        <xdr:cNvPr id="142" name="Picture 141" descr="Portugal">
          <a:extLst>
            <a:ext uri="{FF2B5EF4-FFF2-40B4-BE49-F238E27FC236}">
              <a16:creationId xmlns:a16="http://schemas.microsoft.com/office/drawing/2014/main" xmlns="" id="{16412F51-8EE3-4451-8B10-33E10FB7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6" y="256740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19051</xdr:colOff>
      <xdr:row>13</xdr:row>
      <xdr:rowOff>50901</xdr:rowOff>
    </xdr:from>
    <xdr:to>
      <xdr:col>3</xdr:col>
      <xdr:colOff>177451</xdr:colOff>
      <xdr:row>13</xdr:row>
      <xdr:rowOff>155898</xdr:rowOff>
    </xdr:to>
    <xdr:pic>
      <xdr:nvPicPr>
        <xdr:cNvPr id="143" name="Picture 142" descr="Portugal">
          <a:extLst>
            <a:ext uri="{FF2B5EF4-FFF2-40B4-BE49-F238E27FC236}">
              <a16:creationId xmlns:a16="http://schemas.microsoft.com/office/drawing/2014/main" xmlns="" id="{9D603C48-D8CF-46C2-87A1-2B69AD6E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1" y="24283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26671</xdr:colOff>
      <xdr:row>21</xdr:row>
      <xdr:rowOff>54711</xdr:rowOff>
    </xdr:from>
    <xdr:to>
      <xdr:col>3</xdr:col>
      <xdr:colOff>185071</xdr:colOff>
      <xdr:row>21</xdr:row>
      <xdr:rowOff>159708</xdr:rowOff>
    </xdr:to>
    <xdr:pic>
      <xdr:nvPicPr>
        <xdr:cNvPr id="144" name="Picture 143" descr="France">
          <a:extLst>
            <a:ext uri="{FF2B5EF4-FFF2-40B4-BE49-F238E27FC236}">
              <a16:creationId xmlns:a16="http://schemas.microsoft.com/office/drawing/2014/main" xmlns="" id="{C142CCDE-109C-486D-A587-A27EA3D2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38761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21</xdr:row>
      <xdr:rowOff>54711</xdr:rowOff>
    </xdr:from>
    <xdr:to>
      <xdr:col>5</xdr:col>
      <xdr:colOff>164115</xdr:colOff>
      <xdr:row>21</xdr:row>
      <xdr:rowOff>159408</xdr:rowOff>
    </xdr:to>
    <xdr:pic>
      <xdr:nvPicPr>
        <xdr:cNvPr id="145" name="Picture 144" descr="Australia">
          <a:extLst>
            <a:ext uri="{FF2B5EF4-FFF2-40B4-BE49-F238E27FC236}">
              <a16:creationId xmlns:a16="http://schemas.microsoft.com/office/drawing/2014/main" xmlns="" id="{D04AD6D1-33A5-4053-A00E-998A2519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3836136"/>
          <a:ext cx="158400" cy="10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13336</xdr:colOff>
      <xdr:row>30</xdr:row>
      <xdr:rowOff>45186</xdr:rowOff>
    </xdr:from>
    <xdr:to>
      <xdr:col>5</xdr:col>
      <xdr:colOff>171736</xdr:colOff>
      <xdr:row>30</xdr:row>
      <xdr:rowOff>150183</xdr:rowOff>
    </xdr:to>
    <xdr:pic>
      <xdr:nvPicPr>
        <xdr:cNvPr id="146" name="Picture 145" descr="Iceland">
          <a:extLst>
            <a:ext uri="{FF2B5EF4-FFF2-40B4-BE49-F238E27FC236}">
              <a16:creationId xmlns:a16="http://schemas.microsoft.com/office/drawing/2014/main" xmlns="" id="{5C8CE1E1-CFF9-41F5-8579-B7ECF389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551253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</xdr:colOff>
      <xdr:row>22</xdr:row>
      <xdr:rowOff>60426</xdr:rowOff>
    </xdr:from>
    <xdr:to>
      <xdr:col>3</xdr:col>
      <xdr:colOff>185070</xdr:colOff>
      <xdr:row>22</xdr:row>
      <xdr:rowOff>164517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7F6C454A-C66B-40EF-AA8D-469DB4E8A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28700" y="406473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5716</xdr:colOff>
      <xdr:row>22</xdr:row>
      <xdr:rowOff>52806</xdr:rowOff>
    </xdr:from>
    <xdr:to>
      <xdr:col>5</xdr:col>
      <xdr:colOff>164116</xdr:colOff>
      <xdr:row>22</xdr:row>
      <xdr:rowOff>157803</xdr:rowOff>
    </xdr:to>
    <xdr:pic>
      <xdr:nvPicPr>
        <xdr:cNvPr id="148" name="Picture 147" descr="Denmark">
          <a:extLst>
            <a:ext uri="{FF2B5EF4-FFF2-40B4-BE49-F238E27FC236}">
              <a16:creationId xmlns:a16="http://schemas.microsoft.com/office/drawing/2014/main" xmlns="" id="{A671776B-089E-4607-9C80-CD152E27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6" y="401520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</xdr:colOff>
      <xdr:row>30</xdr:row>
      <xdr:rowOff>37566</xdr:rowOff>
    </xdr:from>
    <xdr:to>
      <xdr:col>3</xdr:col>
      <xdr:colOff>169830</xdr:colOff>
      <xdr:row>30</xdr:row>
      <xdr:rowOff>141657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xmlns="" id="{33747AF0-24F6-4117-BC70-25A974A7C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13460" y="550491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7621</xdr:colOff>
      <xdr:row>31</xdr:row>
      <xdr:rowOff>69951</xdr:rowOff>
    </xdr:from>
    <xdr:to>
      <xdr:col>3</xdr:col>
      <xdr:colOff>166021</xdr:colOff>
      <xdr:row>31</xdr:row>
      <xdr:rowOff>174948</xdr:rowOff>
    </xdr:to>
    <xdr:pic>
      <xdr:nvPicPr>
        <xdr:cNvPr id="150" name="Picture 149" descr="Croatia">
          <a:extLst>
            <a:ext uri="{FF2B5EF4-FFF2-40B4-BE49-F238E27FC236}">
              <a16:creationId xmlns:a16="http://schemas.microsoft.com/office/drawing/2014/main" xmlns="" id="{AEEDE785-9E3C-4E51-A4F5-09FA65C6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6" y="566112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</xdr:colOff>
      <xdr:row>31</xdr:row>
      <xdr:rowOff>43281</xdr:rowOff>
    </xdr:from>
    <xdr:to>
      <xdr:col>5</xdr:col>
      <xdr:colOff>171735</xdr:colOff>
      <xdr:row>31</xdr:row>
      <xdr:rowOff>147372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xmlns="" id="{52FEC16D-BB07-4D9C-AEC0-9103241C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303145" y="569351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34</xdr:row>
      <xdr:rowOff>48996</xdr:rowOff>
    </xdr:from>
    <xdr:to>
      <xdr:col>5</xdr:col>
      <xdr:colOff>167925</xdr:colOff>
      <xdr:row>34</xdr:row>
      <xdr:rowOff>153087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xmlns="" id="{5878EFDB-67CB-4116-AD0F-617587D71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299335" y="624786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</xdr:colOff>
      <xdr:row>32</xdr:row>
      <xdr:rowOff>48996</xdr:rowOff>
    </xdr:from>
    <xdr:to>
      <xdr:col>3</xdr:col>
      <xdr:colOff>169830</xdr:colOff>
      <xdr:row>32</xdr:row>
      <xdr:rowOff>153087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921FD652-E8D3-4259-87EA-09933D43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13460" y="588210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13336</xdr:colOff>
      <xdr:row>35</xdr:row>
      <xdr:rowOff>47091</xdr:rowOff>
    </xdr:from>
    <xdr:to>
      <xdr:col>5</xdr:col>
      <xdr:colOff>171736</xdr:colOff>
      <xdr:row>35</xdr:row>
      <xdr:rowOff>152088</xdr:rowOff>
    </xdr:to>
    <xdr:pic>
      <xdr:nvPicPr>
        <xdr:cNvPr id="154" name="Picture 153" descr="Croatia">
          <a:extLst>
            <a:ext uri="{FF2B5EF4-FFF2-40B4-BE49-F238E27FC236}">
              <a16:creationId xmlns:a16="http://schemas.microsoft.com/office/drawing/2014/main" xmlns="" id="{A0995CA1-3F82-4EB9-8D6A-801F70B2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642884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13336</xdr:colOff>
      <xdr:row>32</xdr:row>
      <xdr:rowOff>45186</xdr:rowOff>
    </xdr:from>
    <xdr:to>
      <xdr:col>5</xdr:col>
      <xdr:colOff>171736</xdr:colOff>
      <xdr:row>32</xdr:row>
      <xdr:rowOff>150183</xdr:rowOff>
    </xdr:to>
    <xdr:pic>
      <xdr:nvPicPr>
        <xdr:cNvPr id="155" name="Picture 154" descr="Croatia">
          <a:extLst>
            <a:ext uri="{FF2B5EF4-FFF2-40B4-BE49-F238E27FC236}">
              <a16:creationId xmlns:a16="http://schemas.microsoft.com/office/drawing/2014/main" xmlns="" id="{43337821-E538-4A2D-B74A-4C22D5CD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587829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11431</xdr:colOff>
      <xdr:row>35</xdr:row>
      <xdr:rowOff>50901</xdr:rowOff>
    </xdr:from>
    <xdr:to>
      <xdr:col>3</xdr:col>
      <xdr:colOff>169831</xdr:colOff>
      <xdr:row>35</xdr:row>
      <xdr:rowOff>157803</xdr:rowOff>
    </xdr:to>
    <xdr:pic>
      <xdr:nvPicPr>
        <xdr:cNvPr id="156" name="Picture 155" descr="Iceland">
          <a:extLst>
            <a:ext uri="{FF2B5EF4-FFF2-40B4-BE49-F238E27FC236}">
              <a16:creationId xmlns:a16="http://schemas.microsoft.com/office/drawing/2014/main" xmlns="" id="{0F1E87A6-B07D-45A6-9F9E-A773209E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1" y="643265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13336</xdr:colOff>
      <xdr:row>33</xdr:row>
      <xdr:rowOff>43281</xdr:rowOff>
    </xdr:from>
    <xdr:to>
      <xdr:col>5</xdr:col>
      <xdr:colOff>171736</xdr:colOff>
      <xdr:row>33</xdr:row>
      <xdr:rowOff>148278</xdr:rowOff>
    </xdr:to>
    <xdr:pic>
      <xdr:nvPicPr>
        <xdr:cNvPr id="157" name="Picture 156" descr="Iceland">
          <a:extLst>
            <a:ext uri="{FF2B5EF4-FFF2-40B4-BE49-F238E27FC236}">
              <a16:creationId xmlns:a16="http://schemas.microsoft.com/office/drawing/2014/main" xmlns="" id="{EBC475F6-93B9-410E-8658-E886006E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605927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34</xdr:row>
      <xdr:rowOff>48996</xdr:rowOff>
    </xdr:from>
    <xdr:to>
      <xdr:col>3</xdr:col>
      <xdr:colOff>173640</xdr:colOff>
      <xdr:row>34</xdr:row>
      <xdr:rowOff>153087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xmlns="" id="{AAEDE3B5-2F64-431B-8112-068799FE9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17270" y="624786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</xdr:colOff>
      <xdr:row>33</xdr:row>
      <xdr:rowOff>47091</xdr:rowOff>
    </xdr:from>
    <xdr:to>
      <xdr:col>3</xdr:col>
      <xdr:colOff>169830</xdr:colOff>
      <xdr:row>33</xdr:row>
      <xdr:rowOff>151182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xmlns="" id="{B46AD292-113E-411A-BD7C-17E476B00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13460" y="6063081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</xdr:colOff>
      <xdr:row>26</xdr:row>
      <xdr:rowOff>45186</xdr:rowOff>
    </xdr:from>
    <xdr:to>
      <xdr:col>3</xdr:col>
      <xdr:colOff>181260</xdr:colOff>
      <xdr:row>26</xdr:row>
      <xdr:rowOff>149883</xdr:rowOff>
    </xdr:to>
    <xdr:pic>
      <xdr:nvPicPr>
        <xdr:cNvPr id="160" name="Picture 159" descr="Australia">
          <a:extLst>
            <a:ext uri="{FF2B5EF4-FFF2-40B4-BE49-F238E27FC236}">
              <a16:creationId xmlns:a16="http://schemas.microsoft.com/office/drawing/2014/main" xmlns="" id="{30F5C053-E0EE-4405-A587-4BDB35D9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4781016"/>
          <a:ext cx="158400" cy="10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23</xdr:row>
      <xdr:rowOff>47091</xdr:rowOff>
    </xdr:from>
    <xdr:to>
      <xdr:col>5</xdr:col>
      <xdr:colOff>164115</xdr:colOff>
      <xdr:row>23</xdr:row>
      <xdr:rowOff>151788</xdr:rowOff>
    </xdr:to>
    <xdr:pic>
      <xdr:nvPicPr>
        <xdr:cNvPr id="161" name="Picture 160" descr="Australia">
          <a:extLst>
            <a:ext uri="{FF2B5EF4-FFF2-40B4-BE49-F238E27FC236}">
              <a16:creationId xmlns:a16="http://schemas.microsoft.com/office/drawing/2014/main" xmlns="" id="{281B9111-B862-4E25-AD2D-4923C1B5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234281"/>
          <a:ext cx="158400" cy="104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22861</xdr:colOff>
      <xdr:row>25</xdr:row>
      <xdr:rowOff>50901</xdr:rowOff>
    </xdr:from>
    <xdr:to>
      <xdr:col>3</xdr:col>
      <xdr:colOff>181261</xdr:colOff>
      <xdr:row>25</xdr:row>
      <xdr:rowOff>155898</xdr:rowOff>
    </xdr:to>
    <xdr:pic>
      <xdr:nvPicPr>
        <xdr:cNvPr id="162" name="Picture 161" descr="Denmark">
          <a:extLst>
            <a:ext uri="{FF2B5EF4-FFF2-40B4-BE49-F238E27FC236}">
              <a16:creationId xmlns:a16="http://schemas.microsoft.com/office/drawing/2014/main" xmlns="" id="{962096EA-3A38-4187-8801-951AAE65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1" y="460385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30481</xdr:colOff>
      <xdr:row>23</xdr:row>
      <xdr:rowOff>47091</xdr:rowOff>
    </xdr:from>
    <xdr:to>
      <xdr:col>3</xdr:col>
      <xdr:colOff>188881</xdr:colOff>
      <xdr:row>23</xdr:row>
      <xdr:rowOff>152088</xdr:rowOff>
    </xdr:to>
    <xdr:pic>
      <xdr:nvPicPr>
        <xdr:cNvPr id="163" name="Picture 162" descr="Denmark">
          <a:extLst>
            <a:ext uri="{FF2B5EF4-FFF2-40B4-BE49-F238E27FC236}">
              <a16:creationId xmlns:a16="http://schemas.microsoft.com/office/drawing/2014/main" xmlns="" id="{77FF7921-6B0D-40DC-B815-A3BAB820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1" y="4234281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24</xdr:row>
      <xdr:rowOff>52806</xdr:rowOff>
    </xdr:from>
    <xdr:to>
      <xdr:col>5</xdr:col>
      <xdr:colOff>164115</xdr:colOff>
      <xdr:row>24</xdr:row>
      <xdr:rowOff>156897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xmlns="" id="{0A13BB34-B2A4-4161-BE42-F3324B84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95525" y="442287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26</xdr:row>
      <xdr:rowOff>45186</xdr:rowOff>
    </xdr:from>
    <xdr:to>
      <xdr:col>5</xdr:col>
      <xdr:colOff>167925</xdr:colOff>
      <xdr:row>26</xdr:row>
      <xdr:rowOff>149277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xmlns="" id="{715A13BD-6A34-4E7F-98A1-0D737E429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299335" y="4781016"/>
          <a:ext cx="158400" cy="104091"/>
        </a:xfrm>
        <a:prstGeom prst="rect">
          <a:avLst/>
        </a:prstGeom>
      </xdr:spPr>
    </xdr:pic>
    <xdr:clientData/>
  </xdr:twoCellAnchor>
  <xdr:twoCellAnchor editAs="oneCell">
    <xdr:from>
      <xdr:col>3</xdr:col>
      <xdr:colOff>26671</xdr:colOff>
      <xdr:row>24</xdr:row>
      <xdr:rowOff>45186</xdr:rowOff>
    </xdr:from>
    <xdr:to>
      <xdr:col>3</xdr:col>
      <xdr:colOff>185071</xdr:colOff>
      <xdr:row>24</xdr:row>
      <xdr:rowOff>150183</xdr:rowOff>
    </xdr:to>
    <xdr:pic>
      <xdr:nvPicPr>
        <xdr:cNvPr id="166" name="Picture 165" descr="France">
          <a:extLst>
            <a:ext uri="{FF2B5EF4-FFF2-40B4-BE49-F238E27FC236}">
              <a16:creationId xmlns:a16="http://schemas.microsoft.com/office/drawing/2014/main" xmlns="" id="{9A65267E-308F-4FA8-88B7-6A679EBD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441525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5716</xdr:colOff>
      <xdr:row>25</xdr:row>
      <xdr:rowOff>62331</xdr:rowOff>
    </xdr:from>
    <xdr:to>
      <xdr:col>5</xdr:col>
      <xdr:colOff>164116</xdr:colOff>
      <xdr:row>25</xdr:row>
      <xdr:rowOff>167328</xdr:rowOff>
    </xdr:to>
    <xdr:pic>
      <xdr:nvPicPr>
        <xdr:cNvPr id="167" name="Picture 166" descr="France">
          <a:extLst>
            <a:ext uri="{FF2B5EF4-FFF2-40B4-BE49-F238E27FC236}">
              <a16:creationId xmlns:a16="http://schemas.microsoft.com/office/drawing/2014/main" xmlns="" id="{9AE5DB90-1A5A-456D-951F-15C37348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6" y="4567656"/>
          <a:ext cx="158400" cy="104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11431</xdr:colOff>
      <xdr:row>39</xdr:row>
      <xdr:rowOff>31851</xdr:rowOff>
    </xdr:from>
    <xdr:to>
      <xdr:col>3</xdr:col>
      <xdr:colOff>169831</xdr:colOff>
      <xdr:row>39</xdr:row>
      <xdr:rowOff>138753</xdr:rowOff>
    </xdr:to>
    <xdr:pic>
      <xdr:nvPicPr>
        <xdr:cNvPr id="168" name="Picture 167" descr="Costa Rica">
          <a:extLst>
            <a:ext uri="{FF2B5EF4-FFF2-40B4-BE49-F238E27FC236}">
              <a16:creationId xmlns:a16="http://schemas.microsoft.com/office/drawing/2014/main" xmlns="" id="{451EE889-DF10-4B8D-BE5D-68B3665E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1" y="714512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5716</xdr:colOff>
      <xdr:row>39</xdr:row>
      <xdr:rowOff>35661</xdr:rowOff>
    </xdr:from>
    <xdr:to>
      <xdr:col>5</xdr:col>
      <xdr:colOff>164116</xdr:colOff>
      <xdr:row>39</xdr:row>
      <xdr:rowOff>142563</xdr:rowOff>
    </xdr:to>
    <xdr:pic>
      <xdr:nvPicPr>
        <xdr:cNvPr id="169" name="Picture 168" descr="Serbia">
          <a:extLst>
            <a:ext uri="{FF2B5EF4-FFF2-40B4-BE49-F238E27FC236}">
              <a16:creationId xmlns:a16="http://schemas.microsoft.com/office/drawing/2014/main" xmlns="" id="{B5C4224D-6C1C-4946-A53C-58A0EBDB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6" y="714893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11431</xdr:colOff>
      <xdr:row>40</xdr:row>
      <xdr:rowOff>29946</xdr:rowOff>
    </xdr:from>
    <xdr:to>
      <xdr:col>3</xdr:col>
      <xdr:colOff>169831</xdr:colOff>
      <xdr:row>40</xdr:row>
      <xdr:rowOff>136848</xdr:rowOff>
    </xdr:to>
    <xdr:pic>
      <xdr:nvPicPr>
        <xdr:cNvPr id="170" name="Picture 169" descr="Brazil">
          <a:extLst>
            <a:ext uri="{FF2B5EF4-FFF2-40B4-BE49-F238E27FC236}">
              <a16:creationId xmlns:a16="http://schemas.microsoft.com/office/drawing/2014/main" xmlns="" id="{B1DDDC16-DE90-4013-8B97-9B530463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1" y="7326096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11431</xdr:colOff>
      <xdr:row>44</xdr:row>
      <xdr:rowOff>41376</xdr:rowOff>
    </xdr:from>
    <xdr:to>
      <xdr:col>3</xdr:col>
      <xdr:colOff>169831</xdr:colOff>
      <xdr:row>44</xdr:row>
      <xdr:rowOff>148278</xdr:rowOff>
    </xdr:to>
    <xdr:pic>
      <xdr:nvPicPr>
        <xdr:cNvPr id="171" name="Picture 170" descr="Switzerland">
          <a:extLst>
            <a:ext uri="{FF2B5EF4-FFF2-40B4-BE49-F238E27FC236}">
              <a16:creationId xmlns:a16="http://schemas.microsoft.com/office/drawing/2014/main" xmlns="" id="{6F3DF306-8F3C-4DE7-B65D-67DF3B1E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1" y="8069046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</xdr:colOff>
      <xdr:row>48</xdr:row>
      <xdr:rowOff>37565</xdr:rowOff>
    </xdr:from>
    <xdr:to>
      <xdr:col>3</xdr:col>
      <xdr:colOff>174360</xdr:colOff>
      <xdr:row>48</xdr:row>
      <xdr:rowOff>147470</xdr:rowOff>
    </xdr:to>
    <xdr:pic>
      <xdr:nvPicPr>
        <xdr:cNvPr id="172" name="Picture 171" descr="Germany">
          <a:extLst>
            <a:ext uri="{FF2B5EF4-FFF2-40B4-BE49-F238E27FC236}">
              <a16:creationId xmlns:a16="http://schemas.microsoft.com/office/drawing/2014/main" xmlns="" id="{89EE7952-8B0F-45ED-B3D1-C96A94B4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" y="879675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48</xdr:row>
      <xdr:rowOff>29945</xdr:rowOff>
    </xdr:from>
    <xdr:to>
      <xdr:col>5</xdr:col>
      <xdr:colOff>168645</xdr:colOff>
      <xdr:row>48</xdr:row>
      <xdr:rowOff>139850</xdr:rowOff>
    </xdr:to>
    <xdr:pic>
      <xdr:nvPicPr>
        <xdr:cNvPr id="173" name="Picture 172" descr="Mexico">
          <a:extLst>
            <a:ext uri="{FF2B5EF4-FFF2-40B4-BE49-F238E27FC236}">
              <a16:creationId xmlns:a16="http://schemas.microsoft.com/office/drawing/2014/main" xmlns="" id="{5ABE5933-14C8-4B92-BB90-C1227E0C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78913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49</xdr:row>
      <xdr:rowOff>35660</xdr:rowOff>
    </xdr:from>
    <xdr:to>
      <xdr:col>3</xdr:col>
      <xdr:colOff>178170</xdr:colOff>
      <xdr:row>49</xdr:row>
      <xdr:rowOff>145565</xdr:rowOff>
    </xdr:to>
    <xdr:pic>
      <xdr:nvPicPr>
        <xdr:cNvPr id="174" name="Picture 173" descr="Sweden">
          <a:extLst>
            <a:ext uri="{FF2B5EF4-FFF2-40B4-BE49-F238E27FC236}">
              <a16:creationId xmlns:a16="http://schemas.microsoft.com/office/drawing/2014/main" xmlns="" id="{DE3B4753-A362-43D2-B6C7-E048CBF0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" y="897773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99060</xdr:colOff>
      <xdr:row>49</xdr:row>
      <xdr:rowOff>35660</xdr:rowOff>
    </xdr:from>
    <xdr:to>
      <xdr:col>5</xdr:col>
      <xdr:colOff>157215</xdr:colOff>
      <xdr:row>49</xdr:row>
      <xdr:rowOff>145565</xdr:rowOff>
    </xdr:to>
    <xdr:pic>
      <xdr:nvPicPr>
        <xdr:cNvPr id="175" name="Picture 174" descr="Korea Republic">
          <a:extLst>
            <a:ext uri="{FF2B5EF4-FFF2-40B4-BE49-F238E27FC236}">
              <a16:creationId xmlns:a16="http://schemas.microsoft.com/office/drawing/2014/main" xmlns="" id="{81BA145A-7149-48A7-B1B0-7D2352C6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190" y="8977730"/>
          <a:ext cx="164835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57</xdr:row>
      <xdr:rowOff>43280</xdr:rowOff>
    </xdr:from>
    <xdr:to>
      <xdr:col>3</xdr:col>
      <xdr:colOff>185790</xdr:colOff>
      <xdr:row>57</xdr:row>
      <xdr:rowOff>153185</xdr:rowOff>
    </xdr:to>
    <xdr:pic>
      <xdr:nvPicPr>
        <xdr:cNvPr id="176" name="Picture 175" descr="Belgium">
          <a:extLst>
            <a:ext uri="{FF2B5EF4-FFF2-40B4-BE49-F238E27FC236}">
              <a16:creationId xmlns:a16="http://schemas.microsoft.com/office/drawing/2014/main" xmlns="" id="{7BA09CDB-2B1C-45DD-8540-8FB60A8A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044839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57</xdr:row>
      <xdr:rowOff>31850</xdr:rowOff>
    </xdr:from>
    <xdr:to>
      <xdr:col>5</xdr:col>
      <xdr:colOff>172455</xdr:colOff>
      <xdr:row>57</xdr:row>
      <xdr:rowOff>141755</xdr:rowOff>
    </xdr:to>
    <xdr:pic>
      <xdr:nvPicPr>
        <xdr:cNvPr id="177" name="Picture 176" descr="Panama">
          <a:extLst>
            <a:ext uri="{FF2B5EF4-FFF2-40B4-BE49-F238E27FC236}">
              <a16:creationId xmlns:a16="http://schemas.microsoft.com/office/drawing/2014/main" xmlns="" id="{9ED7BED6-616B-4D93-BFD5-EDC51675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" y="1043696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58</xdr:row>
      <xdr:rowOff>33755</xdr:rowOff>
    </xdr:from>
    <xdr:to>
      <xdr:col>3</xdr:col>
      <xdr:colOff>181980</xdr:colOff>
      <xdr:row>58</xdr:row>
      <xdr:rowOff>143660</xdr:rowOff>
    </xdr:to>
    <xdr:pic>
      <xdr:nvPicPr>
        <xdr:cNvPr id="178" name="Picture 177" descr="Tunisia">
          <a:extLst>
            <a:ext uri="{FF2B5EF4-FFF2-40B4-BE49-F238E27FC236}">
              <a16:creationId xmlns:a16="http://schemas.microsoft.com/office/drawing/2014/main" xmlns="" id="{ED98C0D8-68D2-4DFC-9F62-3A5FE979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062174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</xdr:colOff>
      <xdr:row>58</xdr:row>
      <xdr:rowOff>29945</xdr:rowOff>
    </xdr:from>
    <xdr:to>
      <xdr:col>5</xdr:col>
      <xdr:colOff>164835</xdr:colOff>
      <xdr:row>58</xdr:row>
      <xdr:rowOff>139850</xdr:rowOff>
    </xdr:to>
    <xdr:pic>
      <xdr:nvPicPr>
        <xdr:cNvPr id="179" name="Picture 178" descr="England">
          <a:extLst>
            <a:ext uri="{FF2B5EF4-FFF2-40B4-BE49-F238E27FC236}">
              <a16:creationId xmlns:a16="http://schemas.microsoft.com/office/drawing/2014/main" xmlns="" id="{C322EA6F-4B6F-423F-9771-6EA85F7C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1061793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66</xdr:row>
      <xdr:rowOff>37565</xdr:rowOff>
    </xdr:from>
    <xdr:to>
      <xdr:col>3</xdr:col>
      <xdr:colOff>181980</xdr:colOff>
      <xdr:row>66</xdr:row>
      <xdr:rowOff>147470</xdr:rowOff>
    </xdr:to>
    <xdr:pic>
      <xdr:nvPicPr>
        <xdr:cNvPr id="180" name="Picture 179" descr="Colombia">
          <a:extLst>
            <a:ext uri="{FF2B5EF4-FFF2-40B4-BE49-F238E27FC236}">
              <a16:creationId xmlns:a16="http://schemas.microsoft.com/office/drawing/2014/main" xmlns="" id="{A4528529-BCC8-40C8-9E5E-2377FDDA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08859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68</xdr:row>
      <xdr:rowOff>45185</xdr:rowOff>
    </xdr:from>
    <xdr:to>
      <xdr:col>3</xdr:col>
      <xdr:colOff>181980</xdr:colOff>
      <xdr:row>68</xdr:row>
      <xdr:rowOff>155090</xdr:rowOff>
    </xdr:to>
    <xdr:pic>
      <xdr:nvPicPr>
        <xdr:cNvPr id="181" name="Picture 180" descr="Japan">
          <a:extLst>
            <a:ext uri="{FF2B5EF4-FFF2-40B4-BE49-F238E27FC236}">
              <a16:creationId xmlns:a16="http://schemas.microsoft.com/office/drawing/2014/main" xmlns="" id="{1D3B50E7-CD0E-436B-A3A4-4D0E806A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46197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67</xdr:row>
      <xdr:rowOff>31850</xdr:rowOff>
    </xdr:from>
    <xdr:to>
      <xdr:col>3</xdr:col>
      <xdr:colOff>181980</xdr:colOff>
      <xdr:row>67</xdr:row>
      <xdr:rowOff>141755</xdr:rowOff>
    </xdr:to>
    <xdr:pic>
      <xdr:nvPicPr>
        <xdr:cNvPr id="182" name="Picture 181" descr="Poland">
          <a:extLst>
            <a:ext uri="{FF2B5EF4-FFF2-40B4-BE49-F238E27FC236}">
              <a16:creationId xmlns:a16="http://schemas.microsoft.com/office/drawing/2014/main" xmlns="" id="{30B0417F-D534-494F-9F66-C5DD231E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26576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71</xdr:row>
      <xdr:rowOff>47090</xdr:rowOff>
    </xdr:from>
    <xdr:to>
      <xdr:col>3</xdr:col>
      <xdr:colOff>185790</xdr:colOff>
      <xdr:row>71</xdr:row>
      <xdr:rowOff>156995</xdr:rowOff>
    </xdr:to>
    <xdr:pic>
      <xdr:nvPicPr>
        <xdr:cNvPr id="183" name="Picture 182" descr="Senegal">
          <a:extLst>
            <a:ext uri="{FF2B5EF4-FFF2-40B4-BE49-F238E27FC236}">
              <a16:creationId xmlns:a16="http://schemas.microsoft.com/office/drawing/2014/main" xmlns="" id="{67B039C3-0A72-4B26-8577-14B345CB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301252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11431</xdr:colOff>
      <xdr:row>41</xdr:row>
      <xdr:rowOff>35661</xdr:rowOff>
    </xdr:from>
    <xdr:to>
      <xdr:col>3</xdr:col>
      <xdr:colOff>169831</xdr:colOff>
      <xdr:row>41</xdr:row>
      <xdr:rowOff>142563</xdr:rowOff>
    </xdr:to>
    <xdr:pic>
      <xdr:nvPicPr>
        <xdr:cNvPr id="184" name="Picture 183" descr="Brazil">
          <a:extLst>
            <a:ext uri="{FF2B5EF4-FFF2-40B4-BE49-F238E27FC236}">
              <a16:creationId xmlns:a16="http://schemas.microsoft.com/office/drawing/2014/main" xmlns="" id="{62708240-0DCD-4995-8372-4D549982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1" y="751469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13336</xdr:colOff>
      <xdr:row>43</xdr:row>
      <xdr:rowOff>35661</xdr:rowOff>
    </xdr:from>
    <xdr:to>
      <xdr:col>5</xdr:col>
      <xdr:colOff>171736</xdr:colOff>
      <xdr:row>43</xdr:row>
      <xdr:rowOff>142563</xdr:rowOff>
    </xdr:to>
    <xdr:pic>
      <xdr:nvPicPr>
        <xdr:cNvPr id="185" name="Picture 184" descr="Brazil">
          <a:extLst>
            <a:ext uri="{FF2B5EF4-FFF2-40B4-BE49-F238E27FC236}">
              <a16:creationId xmlns:a16="http://schemas.microsoft.com/office/drawing/2014/main" xmlns="" id="{B8B9C331-9AF5-44E6-94D6-19C2C797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788045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17146</xdr:colOff>
      <xdr:row>44</xdr:row>
      <xdr:rowOff>45186</xdr:rowOff>
    </xdr:from>
    <xdr:to>
      <xdr:col>5</xdr:col>
      <xdr:colOff>175546</xdr:colOff>
      <xdr:row>44</xdr:row>
      <xdr:rowOff>152088</xdr:rowOff>
    </xdr:to>
    <xdr:pic>
      <xdr:nvPicPr>
        <xdr:cNvPr id="186" name="Picture 185" descr="Costa Rica">
          <a:extLst>
            <a:ext uri="{FF2B5EF4-FFF2-40B4-BE49-F238E27FC236}">
              <a16:creationId xmlns:a16="http://schemas.microsoft.com/office/drawing/2014/main" xmlns="" id="{02BF8172-1698-4716-96A3-D7CE396F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956" y="8072856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13336</xdr:colOff>
      <xdr:row>41</xdr:row>
      <xdr:rowOff>35661</xdr:rowOff>
    </xdr:from>
    <xdr:to>
      <xdr:col>5</xdr:col>
      <xdr:colOff>171736</xdr:colOff>
      <xdr:row>41</xdr:row>
      <xdr:rowOff>142563</xdr:rowOff>
    </xdr:to>
    <xdr:pic>
      <xdr:nvPicPr>
        <xdr:cNvPr id="187" name="Picture 186" descr="Costa Rica">
          <a:extLst>
            <a:ext uri="{FF2B5EF4-FFF2-40B4-BE49-F238E27FC236}">
              <a16:creationId xmlns:a16="http://schemas.microsoft.com/office/drawing/2014/main" xmlns="" id="{878A0873-62A3-4AD5-ABE2-1A7C620E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751469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9526</xdr:colOff>
      <xdr:row>42</xdr:row>
      <xdr:rowOff>37566</xdr:rowOff>
    </xdr:from>
    <xdr:to>
      <xdr:col>5</xdr:col>
      <xdr:colOff>167926</xdr:colOff>
      <xdr:row>42</xdr:row>
      <xdr:rowOff>144468</xdr:rowOff>
    </xdr:to>
    <xdr:pic>
      <xdr:nvPicPr>
        <xdr:cNvPr id="188" name="Picture 187" descr="Switzerland">
          <a:extLst>
            <a:ext uri="{FF2B5EF4-FFF2-40B4-BE49-F238E27FC236}">
              <a16:creationId xmlns:a16="http://schemas.microsoft.com/office/drawing/2014/main" xmlns="" id="{2CA29965-FAC1-4B0B-8E91-58C42334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6" y="7699476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13336</xdr:colOff>
      <xdr:row>40</xdr:row>
      <xdr:rowOff>26136</xdr:rowOff>
    </xdr:from>
    <xdr:to>
      <xdr:col>5</xdr:col>
      <xdr:colOff>171736</xdr:colOff>
      <xdr:row>40</xdr:row>
      <xdr:rowOff>133038</xdr:rowOff>
    </xdr:to>
    <xdr:pic>
      <xdr:nvPicPr>
        <xdr:cNvPr id="189" name="Picture 188" descr="Switzerland">
          <a:extLst>
            <a:ext uri="{FF2B5EF4-FFF2-40B4-BE49-F238E27FC236}">
              <a16:creationId xmlns:a16="http://schemas.microsoft.com/office/drawing/2014/main" xmlns="" id="{CE512D3F-99F5-4CA6-998B-EB85D3CB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6" y="7322286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3811</xdr:colOff>
      <xdr:row>43</xdr:row>
      <xdr:rowOff>43281</xdr:rowOff>
    </xdr:from>
    <xdr:to>
      <xdr:col>3</xdr:col>
      <xdr:colOff>162211</xdr:colOff>
      <xdr:row>43</xdr:row>
      <xdr:rowOff>150183</xdr:rowOff>
    </xdr:to>
    <xdr:pic>
      <xdr:nvPicPr>
        <xdr:cNvPr id="190" name="Picture 189" descr="Serbia">
          <a:extLst>
            <a:ext uri="{FF2B5EF4-FFF2-40B4-BE49-F238E27FC236}">
              <a16:creationId xmlns:a16="http://schemas.microsoft.com/office/drawing/2014/main" xmlns="" id="{6A93BE4B-1A66-49E4-9AFE-1958D4D3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1" y="7888071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7621</xdr:colOff>
      <xdr:row>42</xdr:row>
      <xdr:rowOff>45186</xdr:rowOff>
    </xdr:from>
    <xdr:to>
      <xdr:col>3</xdr:col>
      <xdr:colOff>166021</xdr:colOff>
      <xdr:row>42</xdr:row>
      <xdr:rowOff>152088</xdr:rowOff>
    </xdr:to>
    <xdr:pic>
      <xdr:nvPicPr>
        <xdr:cNvPr id="191" name="Picture 190" descr="Serbia">
          <a:extLst>
            <a:ext uri="{FF2B5EF4-FFF2-40B4-BE49-F238E27FC236}">
              <a16:creationId xmlns:a16="http://schemas.microsoft.com/office/drawing/2014/main" xmlns="" id="{2B8CC648-51D9-47DF-A835-0AEDC47F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1" y="7707096"/>
          <a:ext cx="158400" cy="10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70</xdr:row>
      <xdr:rowOff>48995</xdr:rowOff>
    </xdr:from>
    <xdr:to>
      <xdr:col>3</xdr:col>
      <xdr:colOff>178170</xdr:colOff>
      <xdr:row>70</xdr:row>
      <xdr:rowOff>158900</xdr:rowOff>
    </xdr:to>
    <xdr:pic>
      <xdr:nvPicPr>
        <xdr:cNvPr id="192" name="Picture 191" descr="Japan">
          <a:extLst>
            <a:ext uri="{FF2B5EF4-FFF2-40B4-BE49-F238E27FC236}">
              <a16:creationId xmlns:a16="http://schemas.microsoft.com/office/drawing/2014/main" xmlns="" id="{3ED983DF-273E-4B10-99A0-6A36DF1E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" y="1283154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99060</xdr:colOff>
      <xdr:row>66</xdr:row>
      <xdr:rowOff>29945</xdr:rowOff>
    </xdr:from>
    <xdr:to>
      <xdr:col>5</xdr:col>
      <xdr:colOff>157215</xdr:colOff>
      <xdr:row>66</xdr:row>
      <xdr:rowOff>139850</xdr:rowOff>
    </xdr:to>
    <xdr:pic>
      <xdr:nvPicPr>
        <xdr:cNvPr id="193" name="Picture 192" descr="Japan">
          <a:extLst>
            <a:ext uri="{FF2B5EF4-FFF2-40B4-BE49-F238E27FC236}">
              <a16:creationId xmlns:a16="http://schemas.microsoft.com/office/drawing/2014/main" xmlns="" id="{DDD694F9-72F7-41AE-901A-A5799E08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190" y="12080975"/>
          <a:ext cx="164835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70</xdr:row>
      <xdr:rowOff>26135</xdr:rowOff>
    </xdr:from>
    <xdr:to>
      <xdr:col>5</xdr:col>
      <xdr:colOff>168645</xdr:colOff>
      <xdr:row>70</xdr:row>
      <xdr:rowOff>136040</xdr:rowOff>
    </xdr:to>
    <xdr:pic>
      <xdr:nvPicPr>
        <xdr:cNvPr id="194" name="Picture 193" descr="Poland">
          <a:extLst>
            <a:ext uri="{FF2B5EF4-FFF2-40B4-BE49-F238E27FC236}">
              <a16:creationId xmlns:a16="http://schemas.microsoft.com/office/drawing/2014/main" xmlns="" id="{DED85513-98C2-4F7D-9FA4-1010124D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80868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69</xdr:row>
      <xdr:rowOff>31850</xdr:rowOff>
    </xdr:from>
    <xdr:to>
      <xdr:col>3</xdr:col>
      <xdr:colOff>181980</xdr:colOff>
      <xdr:row>69</xdr:row>
      <xdr:rowOff>141755</xdr:rowOff>
    </xdr:to>
    <xdr:pic>
      <xdr:nvPicPr>
        <xdr:cNvPr id="195" name="Picture 194" descr="Poland">
          <a:extLst>
            <a:ext uri="{FF2B5EF4-FFF2-40B4-BE49-F238E27FC236}">
              <a16:creationId xmlns:a16="http://schemas.microsoft.com/office/drawing/2014/main" xmlns="" id="{3D98E9D1-B761-418C-A477-5196F5DC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63152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13335</xdr:colOff>
      <xdr:row>69</xdr:row>
      <xdr:rowOff>31850</xdr:rowOff>
    </xdr:from>
    <xdr:to>
      <xdr:col>5</xdr:col>
      <xdr:colOff>176265</xdr:colOff>
      <xdr:row>69</xdr:row>
      <xdr:rowOff>141755</xdr:rowOff>
    </xdr:to>
    <xdr:pic>
      <xdr:nvPicPr>
        <xdr:cNvPr id="196" name="Picture 195" descr="Colombia">
          <a:extLst>
            <a:ext uri="{FF2B5EF4-FFF2-40B4-BE49-F238E27FC236}">
              <a16:creationId xmlns:a16="http://schemas.microsoft.com/office/drawing/2014/main" xmlns="" id="{0F9752FD-00EC-49FD-AE4C-9A334FC2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" y="1263152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71</xdr:row>
      <xdr:rowOff>39470</xdr:rowOff>
    </xdr:from>
    <xdr:to>
      <xdr:col>5</xdr:col>
      <xdr:colOff>172455</xdr:colOff>
      <xdr:row>71</xdr:row>
      <xdr:rowOff>149375</xdr:rowOff>
    </xdr:to>
    <xdr:pic>
      <xdr:nvPicPr>
        <xdr:cNvPr id="197" name="Picture 196" descr="Colombia">
          <a:extLst>
            <a:ext uri="{FF2B5EF4-FFF2-40B4-BE49-F238E27FC236}">
              <a16:creationId xmlns:a16="http://schemas.microsoft.com/office/drawing/2014/main" xmlns="" id="{83809D04-2885-4EB8-9371-BD2BF870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" y="1300490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67</xdr:row>
      <xdr:rowOff>31850</xdr:rowOff>
    </xdr:from>
    <xdr:to>
      <xdr:col>5</xdr:col>
      <xdr:colOff>168645</xdr:colOff>
      <xdr:row>67</xdr:row>
      <xdr:rowOff>141755</xdr:rowOff>
    </xdr:to>
    <xdr:pic>
      <xdr:nvPicPr>
        <xdr:cNvPr id="198" name="Picture 197" descr="Senegal">
          <a:extLst>
            <a:ext uri="{FF2B5EF4-FFF2-40B4-BE49-F238E27FC236}">
              <a16:creationId xmlns:a16="http://schemas.microsoft.com/office/drawing/2014/main" xmlns="" id="{84D3CC23-6D93-4900-95B4-95C6E41B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26576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68</xdr:row>
      <xdr:rowOff>33755</xdr:rowOff>
    </xdr:from>
    <xdr:to>
      <xdr:col>5</xdr:col>
      <xdr:colOff>168645</xdr:colOff>
      <xdr:row>68</xdr:row>
      <xdr:rowOff>143660</xdr:rowOff>
    </xdr:to>
    <xdr:pic>
      <xdr:nvPicPr>
        <xdr:cNvPr id="199" name="Picture 198" descr="Senegal">
          <a:extLst>
            <a:ext uri="{FF2B5EF4-FFF2-40B4-BE49-F238E27FC236}">
              <a16:creationId xmlns:a16="http://schemas.microsoft.com/office/drawing/2014/main" xmlns="" id="{D3042B6D-7362-4FD0-A403-C505FEB9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45054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</xdr:colOff>
      <xdr:row>60</xdr:row>
      <xdr:rowOff>45185</xdr:rowOff>
    </xdr:from>
    <xdr:to>
      <xdr:col>5</xdr:col>
      <xdr:colOff>164835</xdr:colOff>
      <xdr:row>60</xdr:row>
      <xdr:rowOff>155090</xdr:rowOff>
    </xdr:to>
    <xdr:pic>
      <xdr:nvPicPr>
        <xdr:cNvPr id="200" name="Picture 199" descr="Panama">
          <a:extLst>
            <a:ext uri="{FF2B5EF4-FFF2-40B4-BE49-F238E27FC236}">
              <a16:creationId xmlns:a16="http://schemas.microsoft.com/office/drawing/2014/main" xmlns="" id="{5B4B68F7-C192-4AF7-A39E-1FE8FB42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1099893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</xdr:colOff>
      <xdr:row>61</xdr:row>
      <xdr:rowOff>47090</xdr:rowOff>
    </xdr:from>
    <xdr:to>
      <xdr:col>3</xdr:col>
      <xdr:colOff>185790</xdr:colOff>
      <xdr:row>61</xdr:row>
      <xdr:rowOff>156995</xdr:rowOff>
    </xdr:to>
    <xdr:pic>
      <xdr:nvPicPr>
        <xdr:cNvPr id="201" name="Picture 200" descr="Panama">
          <a:extLst>
            <a:ext uri="{FF2B5EF4-FFF2-40B4-BE49-F238E27FC236}">
              <a16:creationId xmlns:a16="http://schemas.microsoft.com/office/drawing/2014/main" xmlns="" id="{6082469D-E5CC-4E28-84F7-F86FFFC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" y="1118372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62</xdr:row>
      <xdr:rowOff>37565</xdr:rowOff>
    </xdr:from>
    <xdr:to>
      <xdr:col>3</xdr:col>
      <xdr:colOff>181980</xdr:colOff>
      <xdr:row>62</xdr:row>
      <xdr:rowOff>147470</xdr:rowOff>
    </xdr:to>
    <xdr:pic>
      <xdr:nvPicPr>
        <xdr:cNvPr id="202" name="Picture 201" descr="England">
          <a:extLst>
            <a:ext uri="{FF2B5EF4-FFF2-40B4-BE49-F238E27FC236}">
              <a16:creationId xmlns:a16="http://schemas.microsoft.com/office/drawing/2014/main" xmlns="" id="{C4F1E1A0-3899-4050-B7BF-CE048FAB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135707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60</xdr:row>
      <xdr:rowOff>29945</xdr:rowOff>
    </xdr:from>
    <xdr:to>
      <xdr:col>3</xdr:col>
      <xdr:colOff>181980</xdr:colOff>
      <xdr:row>60</xdr:row>
      <xdr:rowOff>139850</xdr:rowOff>
    </xdr:to>
    <xdr:pic>
      <xdr:nvPicPr>
        <xdr:cNvPr id="203" name="Picture 202" descr="England">
          <a:extLst>
            <a:ext uri="{FF2B5EF4-FFF2-40B4-BE49-F238E27FC236}">
              <a16:creationId xmlns:a16="http://schemas.microsoft.com/office/drawing/2014/main" xmlns="" id="{F7F69FF8-1C32-47FD-83BF-42B7FC28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098369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102870</xdr:colOff>
      <xdr:row>61</xdr:row>
      <xdr:rowOff>43280</xdr:rowOff>
    </xdr:from>
    <xdr:to>
      <xdr:col>5</xdr:col>
      <xdr:colOff>161025</xdr:colOff>
      <xdr:row>61</xdr:row>
      <xdr:rowOff>153185</xdr:rowOff>
    </xdr:to>
    <xdr:pic>
      <xdr:nvPicPr>
        <xdr:cNvPr id="204" name="Picture 203" descr="Tunisia">
          <a:extLst>
            <a:ext uri="{FF2B5EF4-FFF2-40B4-BE49-F238E27FC236}">
              <a16:creationId xmlns:a16="http://schemas.microsoft.com/office/drawing/2014/main" xmlns="" id="{E7F05CD2-1061-49CC-89B9-C781CA10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1179910"/>
          <a:ext cx="164835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</xdr:colOff>
      <xdr:row>59</xdr:row>
      <xdr:rowOff>39470</xdr:rowOff>
    </xdr:from>
    <xdr:to>
      <xdr:col>5</xdr:col>
      <xdr:colOff>164835</xdr:colOff>
      <xdr:row>59</xdr:row>
      <xdr:rowOff>149375</xdr:rowOff>
    </xdr:to>
    <xdr:pic>
      <xdr:nvPicPr>
        <xdr:cNvPr id="205" name="Picture 204" descr="Tunisia">
          <a:extLst>
            <a:ext uri="{FF2B5EF4-FFF2-40B4-BE49-F238E27FC236}">
              <a16:creationId xmlns:a16="http://schemas.microsoft.com/office/drawing/2014/main" xmlns="" id="{246FB6C6-2591-489D-98B1-9FF4BEA6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1081034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59</xdr:row>
      <xdr:rowOff>39470</xdr:rowOff>
    </xdr:from>
    <xdr:to>
      <xdr:col>3</xdr:col>
      <xdr:colOff>181980</xdr:colOff>
      <xdr:row>59</xdr:row>
      <xdr:rowOff>149375</xdr:rowOff>
    </xdr:to>
    <xdr:pic>
      <xdr:nvPicPr>
        <xdr:cNvPr id="206" name="Picture 205" descr="Belgium">
          <a:extLst>
            <a:ext uri="{FF2B5EF4-FFF2-40B4-BE49-F238E27FC236}">
              <a16:creationId xmlns:a16="http://schemas.microsoft.com/office/drawing/2014/main" xmlns="" id="{13DFF8F1-D413-41C2-8EED-81059115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081034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</xdr:colOff>
      <xdr:row>62</xdr:row>
      <xdr:rowOff>41375</xdr:rowOff>
    </xdr:from>
    <xdr:to>
      <xdr:col>5</xdr:col>
      <xdr:colOff>164835</xdr:colOff>
      <xdr:row>62</xdr:row>
      <xdr:rowOff>151280</xdr:rowOff>
    </xdr:to>
    <xdr:pic>
      <xdr:nvPicPr>
        <xdr:cNvPr id="207" name="Picture 206" descr="Belgium">
          <a:extLst>
            <a:ext uri="{FF2B5EF4-FFF2-40B4-BE49-F238E27FC236}">
              <a16:creationId xmlns:a16="http://schemas.microsoft.com/office/drawing/2014/main" xmlns="" id="{C0CAE27F-E725-44CD-83EF-6C4A0910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1136088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</xdr:colOff>
      <xdr:row>50</xdr:row>
      <xdr:rowOff>37565</xdr:rowOff>
    </xdr:from>
    <xdr:to>
      <xdr:col>5</xdr:col>
      <xdr:colOff>164835</xdr:colOff>
      <xdr:row>50</xdr:row>
      <xdr:rowOff>147470</xdr:rowOff>
    </xdr:to>
    <xdr:pic>
      <xdr:nvPicPr>
        <xdr:cNvPr id="208" name="Picture 207" descr="Mexico">
          <a:extLst>
            <a:ext uri="{FF2B5EF4-FFF2-40B4-BE49-F238E27FC236}">
              <a16:creationId xmlns:a16="http://schemas.microsoft.com/office/drawing/2014/main" xmlns="" id="{28C43F2B-4C82-45C2-8AD0-E2C1B7E6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" y="916251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52</xdr:row>
      <xdr:rowOff>41375</xdr:rowOff>
    </xdr:from>
    <xdr:to>
      <xdr:col>3</xdr:col>
      <xdr:colOff>181980</xdr:colOff>
      <xdr:row>52</xdr:row>
      <xdr:rowOff>151280</xdr:rowOff>
    </xdr:to>
    <xdr:pic>
      <xdr:nvPicPr>
        <xdr:cNvPr id="209" name="Picture 208" descr="Mexico">
          <a:extLst>
            <a:ext uri="{FF2B5EF4-FFF2-40B4-BE49-F238E27FC236}">
              <a16:creationId xmlns:a16="http://schemas.microsoft.com/office/drawing/2014/main" xmlns="" id="{FCC53C11-FD99-461E-9AB4-999BD4EC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953208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50</xdr:row>
      <xdr:rowOff>33755</xdr:rowOff>
    </xdr:from>
    <xdr:to>
      <xdr:col>3</xdr:col>
      <xdr:colOff>178170</xdr:colOff>
      <xdr:row>50</xdr:row>
      <xdr:rowOff>143660</xdr:rowOff>
    </xdr:to>
    <xdr:pic>
      <xdr:nvPicPr>
        <xdr:cNvPr id="210" name="Picture 209" descr="Korea Republic">
          <a:extLst>
            <a:ext uri="{FF2B5EF4-FFF2-40B4-BE49-F238E27FC236}">
              <a16:creationId xmlns:a16="http://schemas.microsoft.com/office/drawing/2014/main" xmlns="" id="{85480C2D-0E20-41CA-B231-D1F38D27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" y="915870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53</xdr:row>
      <xdr:rowOff>39470</xdr:rowOff>
    </xdr:from>
    <xdr:to>
      <xdr:col>3</xdr:col>
      <xdr:colOff>181980</xdr:colOff>
      <xdr:row>53</xdr:row>
      <xdr:rowOff>149375</xdr:rowOff>
    </xdr:to>
    <xdr:pic>
      <xdr:nvPicPr>
        <xdr:cNvPr id="211" name="Picture 210" descr="Korea Republic">
          <a:extLst>
            <a:ext uri="{FF2B5EF4-FFF2-40B4-BE49-F238E27FC236}">
              <a16:creationId xmlns:a16="http://schemas.microsoft.com/office/drawing/2014/main" xmlns="" id="{98EC9ADD-A793-4C6F-A82E-DA0D2AF8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971306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53</xdr:row>
      <xdr:rowOff>47090</xdr:rowOff>
    </xdr:from>
    <xdr:to>
      <xdr:col>5</xdr:col>
      <xdr:colOff>168645</xdr:colOff>
      <xdr:row>53</xdr:row>
      <xdr:rowOff>156995</xdr:rowOff>
    </xdr:to>
    <xdr:pic>
      <xdr:nvPicPr>
        <xdr:cNvPr id="212" name="Picture 211" descr="Germany">
          <a:extLst>
            <a:ext uri="{FF2B5EF4-FFF2-40B4-BE49-F238E27FC236}">
              <a16:creationId xmlns:a16="http://schemas.microsoft.com/office/drawing/2014/main" xmlns="" id="{23CBC1BD-677B-46D4-8ABE-79B48FAC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72068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</xdr:colOff>
      <xdr:row>51</xdr:row>
      <xdr:rowOff>39470</xdr:rowOff>
    </xdr:from>
    <xdr:to>
      <xdr:col>3</xdr:col>
      <xdr:colOff>178170</xdr:colOff>
      <xdr:row>51</xdr:row>
      <xdr:rowOff>149375</xdr:rowOff>
    </xdr:to>
    <xdr:pic>
      <xdr:nvPicPr>
        <xdr:cNvPr id="213" name="Picture 212" descr="Germany">
          <a:extLst>
            <a:ext uri="{FF2B5EF4-FFF2-40B4-BE49-F238E27FC236}">
              <a16:creationId xmlns:a16="http://schemas.microsoft.com/office/drawing/2014/main" xmlns="" id="{C0E6ECFE-4C82-4A69-8B9D-82E0C60B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" y="934730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52</xdr:row>
      <xdr:rowOff>37565</xdr:rowOff>
    </xdr:from>
    <xdr:to>
      <xdr:col>5</xdr:col>
      <xdr:colOff>168645</xdr:colOff>
      <xdr:row>52</xdr:row>
      <xdr:rowOff>147470</xdr:rowOff>
    </xdr:to>
    <xdr:pic>
      <xdr:nvPicPr>
        <xdr:cNvPr id="214" name="Picture 213" descr="Sweden">
          <a:extLst>
            <a:ext uri="{FF2B5EF4-FFF2-40B4-BE49-F238E27FC236}">
              <a16:creationId xmlns:a16="http://schemas.microsoft.com/office/drawing/2014/main" xmlns="" id="{F57F1015-976D-47E2-A922-D78EE2D2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528275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</xdr:colOff>
      <xdr:row>51</xdr:row>
      <xdr:rowOff>31850</xdr:rowOff>
    </xdr:from>
    <xdr:to>
      <xdr:col>5</xdr:col>
      <xdr:colOff>168645</xdr:colOff>
      <xdr:row>51</xdr:row>
      <xdr:rowOff>141755</xdr:rowOff>
    </xdr:to>
    <xdr:pic>
      <xdr:nvPicPr>
        <xdr:cNvPr id="215" name="Picture 214" descr="Sweden">
          <a:extLst>
            <a:ext uri="{FF2B5EF4-FFF2-40B4-BE49-F238E27FC236}">
              <a16:creationId xmlns:a16="http://schemas.microsoft.com/office/drawing/2014/main" xmlns="" id="{76DE0707-27E6-4337-9A35-136450B9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9339680"/>
          <a:ext cx="162930" cy="109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352425</xdr:colOff>
      <xdr:row>72</xdr:row>
      <xdr:rowOff>104775</xdr:rowOff>
    </xdr:from>
    <xdr:to>
      <xdr:col>74</xdr:col>
      <xdr:colOff>173843</xdr:colOff>
      <xdr:row>95</xdr:row>
      <xdr:rowOff>152399</xdr:rowOff>
    </xdr:to>
    <xdr:pic>
      <xdr:nvPicPr>
        <xdr:cNvPr id="220" name="Picture 219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371703C0-F314-4F3F-9928-0C09C924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2150" y="1311592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476250</xdr:colOff>
      <xdr:row>72</xdr:row>
      <xdr:rowOff>104775</xdr:rowOff>
    </xdr:from>
    <xdr:to>
      <xdr:col>82</xdr:col>
      <xdr:colOff>24804</xdr:colOff>
      <xdr:row>95</xdr:row>
      <xdr:rowOff>152399</xdr:rowOff>
    </xdr:to>
    <xdr:pic>
      <xdr:nvPicPr>
        <xdr:cNvPr id="224" name="Picture 223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75EAA69A-1B1C-45F8-B673-32E6537E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0" y="13115925"/>
          <a:ext cx="3815755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514350</xdr:colOff>
      <xdr:row>47</xdr:row>
      <xdr:rowOff>104775</xdr:rowOff>
    </xdr:from>
    <xdr:to>
      <xdr:col>82</xdr:col>
      <xdr:colOff>62904</xdr:colOff>
      <xdr:row>70</xdr:row>
      <xdr:rowOff>152399</xdr:rowOff>
    </xdr:to>
    <xdr:pic>
      <xdr:nvPicPr>
        <xdr:cNvPr id="108" name="Picture 107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4146652C-FB20-4BBC-BA57-479C2BAA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700" y="8591550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333375</xdr:colOff>
      <xdr:row>47</xdr:row>
      <xdr:rowOff>95250</xdr:rowOff>
    </xdr:from>
    <xdr:to>
      <xdr:col>74</xdr:col>
      <xdr:colOff>567729</xdr:colOff>
      <xdr:row>70</xdr:row>
      <xdr:rowOff>142874</xdr:rowOff>
    </xdr:to>
    <xdr:pic>
      <xdr:nvPicPr>
        <xdr:cNvPr id="109" name="Picture 108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DB0E733B-DFA8-442E-B423-73D12C1A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8582025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495300</xdr:colOff>
      <xdr:row>47</xdr:row>
      <xdr:rowOff>95250</xdr:rowOff>
    </xdr:from>
    <xdr:to>
      <xdr:col>23</xdr:col>
      <xdr:colOff>91479</xdr:colOff>
      <xdr:row>70</xdr:row>
      <xdr:rowOff>142874</xdr:rowOff>
    </xdr:to>
    <xdr:pic>
      <xdr:nvPicPr>
        <xdr:cNvPr id="110" name="Picture 109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8CAA570F-7220-4941-8C88-FE9FDBB6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8582025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590550</xdr:colOff>
      <xdr:row>24</xdr:row>
      <xdr:rowOff>9525</xdr:rowOff>
    </xdr:from>
    <xdr:to>
      <xdr:col>23</xdr:col>
      <xdr:colOff>186729</xdr:colOff>
      <xdr:row>47</xdr:row>
      <xdr:rowOff>57149</xdr:rowOff>
    </xdr:to>
    <xdr:pic>
      <xdr:nvPicPr>
        <xdr:cNvPr id="111" name="Picture 110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68EE56EC-EF70-4E02-8949-E6C91338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4333875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342900</xdr:colOff>
      <xdr:row>23</xdr:row>
      <xdr:rowOff>152400</xdr:rowOff>
    </xdr:from>
    <xdr:to>
      <xdr:col>74</xdr:col>
      <xdr:colOff>577254</xdr:colOff>
      <xdr:row>47</xdr:row>
      <xdr:rowOff>19049</xdr:rowOff>
    </xdr:to>
    <xdr:pic>
      <xdr:nvPicPr>
        <xdr:cNvPr id="112" name="Picture 111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596D07D8-BB22-458E-9C8C-8F24FA37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4295775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600075</xdr:colOff>
      <xdr:row>23</xdr:row>
      <xdr:rowOff>142875</xdr:rowOff>
    </xdr:from>
    <xdr:to>
      <xdr:col>82</xdr:col>
      <xdr:colOff>148629</xdr:colOff>
      <xdr:row>47</xdr:row>
      <xdr:rowOff>9524</xdr:rowOff>
    </xdr:to>
    <xdr:pic>
      <xdr:nvPicPr>
        <xdr:cNvPr id="113" name="Picture 112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BD40C6AD-6DBD-462A-8401-6327643C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4286250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361950</xdr:colOff>
      <xdr:row>0</xdr:row>
      <xdr:rowOff>0</xdr:rowOff>
    </xdr:from>
    <xdr:to>
      <xdr:col>74</xdr:col>
      <xdr:colOff>596304</xdr:colOff>
      <xdr:row>23</xdr:row>
      <xdr:rowOff>66674</xdr:rowOff>
    </xdr:to>
    <xdr:pic>
      <xdr:nvPicPr>
        <xdr:cNvPr id="114" name="Picture 113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9E3E5B21-0F86-4C47-9FFC-A625F49D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0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76</xdr:col>
      <xdr:colOff>9525</xdr:colOff>
      <xdr:row>0</xdr:row>
      <xdr:rowOff>0</xdr:rowOff>
    </xdr:from>
    <xdr:to>
      <xdr:col>82</xdr:col>
      <xdr:colOff>167679</xdr:colOff>
      <xdr:row>23</xdr:row>
      <xdr:rowOff>66674</xdr:rowOff>
    </xdr:to>
    <xdr:pic>
      <xdr:nvPicPr>
        <xdr:cNvPr id="115" name="Picture 114" descr="Image result for fifa world cup 201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EECC87BF-0092-4C72-889A-63AE70A3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8475" y="0"/>
          <a:ext cx="3815754" cy="421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33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4.85546875" style="53" customWidth="1"/>
    <col min="2" max="2" width="36.28515625" style="53" bestFit="1" customWidth="1"/>
    <col min="3" max="3" width="14.42578125" style="53" bestFit="1" customWidth="1"/>
    <col min="4" max="5" width="9.140625" style="53"/>
    <col min="6" max="6" width="11.140625" style="53" bestFit="1" customWidth="1"/>
    <col min="7" max="16384" width="9.140625" style="53"/>
  </cols>
  <sheetData>
    <row r="2" spans="2:6" ht="21" x14ac:dyDescent="0.35">
      <c r="B2" s="52" t="s">
        <v>114</v>
      </c>
      <c r="F2" s="54" t="s">
        <v>140</v>
      </c>
    </row>
    <row r="3" spans="2:6" x14ac:dyDescent="0.25">
      <c r="B3" s="55" t="s">
        <v>118</v>
      </c>
    </row>
    <row r="4" spans="2:6" x14ac:dyDescent="0.25">
      <c r="B4" s="56" t="s">
        <v>115</v>
      </c>
      <c r="C4" s="56" t="s">
        <v>116</v>
      </c>
      <c r="F4" s="57" t="s">
        <v>136</v>
      </c>
    </row>
    <row r="5" spans="2:6" x14ac:dyDescent="0.25">
      <c r="B5" s="56" t="s">
        <v>117</v>
      </c>
      <c r="C5" s="56" t="s">
        <v>186</v>
      </c>
    </row>
    <row r="6" spans="2:6" x14ac:dyDescent="0.25">
      <c r="B6" s="56" t="s">
        <v>187</v>
      </c>
      <c r="F6" s="53" t="s">
        <v>141</v>
      </c>
    </row>
    <row r="7" spans="2:6" x14ac:dyDescent="0.25">
      <c r="B7" s="56"/>
      <c r="F7" s="53" t="s">
        <v>142</v>
      </c>
    </row>
    <row r="8" spans="2:6" x14ac:dyDescent="0.25">
      <c r="B8" s="55" t="s">
        <v>128</v>
      </c>
    </row>
    <row r="9" spans="2:6" x14ac:dyDescent="0.25">
      <c r="B9" s="56" t="s">
        <v>126</v>
      </c>
      <c r="C9" s="56" t="s">
        <v>129</v>
      </c>
      <c r="F9" s="57" t="s">
        <v>137</v>
      </c>
    </row>
    <row r="10" spans="2:6" x14ac:dyDescent="0.25">
      <c r="B10" s="56" t="s">
        <v>119</v>
      </c>
      <c r="C10" s="56" t="s">
        <v>130</v>
      </c>
      <c r="F10" s="53" t="s">
        <v>155</v>
      </c>
    </row>
    <row r="11" spans="2:6" x14ac:dyDescent="0.25">
      <c r="B11" s="56" t="s">
        <v>120</v>
      </c>
      <c r="C11" s="56" t="s">
        <v>131</v>
      </c>
      <c r="F11" s="53" t="s">
        <v>156</v>
      </c>
    </row>
    <row r="12" spans="2:6" x14ac:dyDescent="0.25">
      <c r="B12" s="53" t="s">
        <v>153</v>
      </c>
      <c r="C12" s="56" t="s">
        <v>132</v>
      </c>
      <c r="F12" s="53" t="s">
        <v>138</v>
      </c>
    </row>
    <row r="13" spans="2:6" x14ac:dyDescent="0.25">
      <c r="B13" s="56" t="s">
        <v>121</v>
      </c>
      <c r="C13" s="56" t="s">
        <v>132</v>
      </c>
      <c r="D13" s="56"/>
      <c r="F13" s="53" t="s">
        <v>143</v>
      </c>
    </row>
    <row r="15" spans="2:6" x14ac:dyDescent="0.25">
      <c r="B15" s="55" t="s">
        <v>82</v>
      </c>
      <c r="F15" s="57" t="s">
        <v>139</v>
      </c>
    </row>
    <row r="16" spans="2:6" x14ac:dyDescent="0.25">
      <c r="B16" s="53" t="s">
        <v>84</v>
      </c>
      <c r="C16" s="56" t="s">
        <v>135</v>
      </c>
      <c r="F16" s="53" t="s">
        <v>182</v>
      </c>
    </row>
    <row r="17" spans="2:6" x14ac:dyDescent="0.25">
      <c r="B17" s="56" t="s">
        <v>122</v>
      </c>
      <c r="C17" s="56" t="s">
        <v>135</v>
      </c>
      <c r="F17" s="53" t="s">
        <v>160</v>
      </c>
    </row>
    <row r="18" spans="2:6" x14ac:dyDescent="0.25">
      <c r="B18" s="56" t="s">
        <v>161</v>
      </c>
      <c r="C18" s="56" t="s">
        <v>163</v>
      </c>
      <c r="E18" s="56"/>
    </row>
    <row r="19" spans="2:6" x14ac:dyDescent="0.25">
      <c r="B19" s="56"/>
      <c r="F19" s="57" t="s">
        <v>183</v>
      </c>
    </row>
    <row r="20" spans="2:6" x14ac:dyDescent="0.25">
      <c r="B20" s="57" t="s">
        <v>109</v>
      </c>
      <c r="F20" s="53" t="s">
        <v>184</v>
      </c>
    </row>
    <row r="21" spans="2:6" x14ac:dyDescent="0.25">
      <c r="B21" s="53" t="s">
        <v>108</v>
      </c>
      <c r="C21" s="53" t="s">
        <v>197</v>
      </c>
    </row>
    <row r="22" spans="2:6" x14ac:dyDescent="0.25">
      <c r="B22" s="53" t="s">
        <v>133</v>
      </c>
      <c r="C22" s="53" t="s">
        <v>196</v>
      </c>
      <c r="D22" s="53" t="s">
        <v>195</v>
      </c>
      <c r="F22" s="58" t="s">
        <v>149</v>
      </c>
    </row>
    <row r="23" spans="2:6" x14ac:dyDescent="0.25">
      <c r="B23" s="53" t="s">
        <v>29</v>
      </c>
      <c r="C23" s="53" t="s">
        <v>193</v>
      </c>
      <c r="D23" s="53" t="s">
        <v>194</v>
      </c>
      <c r="F23" s="53" t="s">
        <v>150</v>
      </c>
    </row>
    <row r="24" spans="2:6" x14ac:dyDescent="0.25">
      <c r="B24" s="53" t="s">
        <v>134</v>
      </c>
      <c r="C24" s="53" t="s">
        <v>192</v>
      </c>
      <c r="D24" s="53" t="s">
        <v>191</v>
      </c>
      <c r="F24" s="53" t="s">
        <v>151</v>
      </c>
    </row>
    <row r="25" spans="2:6" x14ac:dyDescent="0.25">
      <c r="B25" s="53" t="s">
        <v>50</v>
      </c>
      <c r="C25" s="53" t="s">
        <v>190</v>
      </c>
      <c r="D25" s="53" t="s">
        <v>189</v>
      </c>
      <c r="F25" s="53" t="s">
        <v>152</v>
      </c>
    </row>
    <row r="26" spans="2:6" x14ac:dyDescent="0.25">
      <c r="B26" s="53" t="s">
        <v>54</v>
      </c>
      <c r="C26" s="53" t="s">
        <v>190</v>
      </c>
      <c r="D26" s="53" t="s">
        <v>189</v>
      </c>
      <c r="F26" s="53" t="s">
        <v>157</v>
      </c>
    </row>
    <row r="27" spans="2:6" x14ac:dyDescent="0.25">
      <c r="B27" s="53" t="s">
        <v>82</v>
      </c>
      <c r="C27" s="53" t="s">
        <v>177</v>
      </c>
      <c r="D27" s="53" t="s">
        <v>181</v>
      </c>
    </row>
    <row r="28" spans="2:6" x14ac:dyDescent="0.25">
      <c r="B28" s="57" t="s">
        <v>111</v>
      </c>
      <c r="C28" s="61" t="s">
        <v>188</v>
      </c>
      <c r="F28" s="57" t="s">
        <v>158</v>
      </c>
    </row>
    <row r="29" spans="2:6" x14ac:dyDescent="0.25">
      <c r="B29" s="57"/>
      <c r="C29" s="57"/>
      <c r="F29" s="53" t="s">
        <v>178</v>
      </c>
    </row>
    <row r="30" spans="2:6" x14ac:dyDescent="0.25">
      <c r="F30" s="53" t="s">
        <v>179</v>
      </c>
    </row>
    <row r="31" spans="2:6" x14ac:dyDescent="0.25">
      <c r="F31" s="53" t="s">
        <v>180</v>
      </c>
    </row>
    <row r="32" spans="2:6" x14ac:dyDescent="0.25">
      <c r="F32" s="53" t="s">
        <v>185</v>
      </c>
    </row>
    <row r="33" spans="6:6" x14ac:dyDescent="0.25">
      <c r="F33" s="53" t="s">
        <v>159</v>
      </c>
    </row>
  </sheetData>
  <sheetProtection algorithmName="SHA-512" hashValue="s1bqSW7pYuE7zlZH0m4RcL3438nbpON1BXRWjLTQf6rvCfXoiRsj0yAtVq4VZ18k3ZkD7cGMR++zBVtiqUT/cQ==" saltValue="1C/xFTSbK14ceBy+2ZFk1g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R120"/>
  <sheetViews>
    <sheetView zoomScaleNormal="100" zoomScaleSheetLayoutView="90" workbookViewId="0">
      <selection activeCell="F100" sqref="F100"/>
    </sheetView>
  </sheetViews>
  <sheetFormatPr defaultColWidth="9.140625" defaultRowHeight="14.25" customHeight="1" x14ac:dyDescent="0.25"/>
  <cols>
    <col min="1" max="1" width="2.85546875" style="5" customWidth="1"/>
    <col min="2" max="2" width="5.85546875" style="73" customWidth="1"/>
    <col min="3" max="3" width="6.28515625" style="37" bestFit="1" customWidth="1"/>
    <col min="4" max="4" width="17.7109375" style="37" bestFit="1" customWidth="1"/>
    <col min="5" max="5" width="1.5703125" style="23" bestFit="1" customWidth="1"/>
    <col min="6" max="6" width="17.7109375" style="37" bestFit="1" customWidth="1"/>
    <col min="7" max="7" width="4.85546875" style="23" customWidth="1"/>
    <col min="8" max="8" width="1.5703125" style="23" bestFit="1" customWidth="1"/>
    <col min="9" max="9" width="4.85546875" style="23" customWidth="1"/>
    <col min="10" max="10" width="6.42578125" style="1" customWidth="1"/>
    <col min="11" max="11" width="5.85546875" style="2" bestFit="1" customWidth="1"/>
    <col min="12" max="12" width="20.5703125" style="5" bestFit="1" customWidth="1"/>
    <col min="13" max="13" width="5.7109375" style="37" customWidth="1"/>
    <col min="14" max="14" width="6.7109375" style="38" bestFit="1" customWidth="1"/>
    <col min="15" max="16" width="5.7109375" style="5" customWidth="1"/>
    <col min="17" max="17" width="5.85546875" style="5" customWidth="1"/>
    <col min="18" max="18" width="17.42578125" style="23" customWidth="1"/>
    <col min="19" max="20" width="6.7109375" style="23" customWidth="1"/>
    <col min="21" max="21" width="6.5703125" style="23" customWidth="1"/>
    <col min="22" max="22" width="19.42578125" style="145" customWidth="1"/>
    <col min="23" max="23" width="5.7109375" style="5" customWidth="1"/>
    <col min="24" max="24" width="16.28515625" style="95" hidden="1" customWidth="1"/>
    <col min="25" max="27" width="5.7109375" style="96" hidden="1" customWidth="1"/>
    <col min="28" max="28" width="16.28515625" style="95" hidden="1" customWidth="1"/>
    <col min="29" max="29" width="5.7109375" style="76" hidden="1" customWidth="1"/>
    <col min="30" max="30" width="5.42578125" style="77" hidden="1" customWidth="1"/>
    <col min="31" max="31" width="4.7109375" style="77" hidden="1" customWidth="1"/>
    <col min="32" max="36" width="9.140625" style="76" hidden="1" customWidth="1"/>
    <col min="37" max="37" width="9.85546875" style="76" hidden="1" customWidth="1"/>
    <col min="38" max="38" width="13.85546875" style="76" hidden="1" customWidth="1"/>
    <col min="39" max="39" width="5.7109375" style="76" hidden="1" customWidth="1"/>
    <col min="40" max="40" width="3.85546875" style="76" hidden="1" customWidth="1"/>
    <col min="41" max="41" width="3.28515625" style="76" hidden="1" customWidth="1"/>
    <col min="42" max="42" width="3.7109375" style="76" hidden="1" customWidth="1"/>
    <col min="43" max="43" width="9.140625" style="76" hidden="1" customWidth="1"/>
    <col min="44" max="44" width="4.85546875" style="76" hidden="1" customWidth="1"/>
    <col min="45" max="45" width="13.85546875" style="76" hidden="1" customWidth="1"/>
    <col min="46" max="46" width="5.7109375" style="76" hidden="1" customWidth="1"/>
    <col min="47" max="49" width="4.7109375" style="76" hidden="1" customWidth="1"/>
    <col min="50" max="50" width="5.85546875" style="45" hidden="1" customWidth="1"/>
    <col min="51" max="51" width="6.28515625" style="42" hidden="1" customWidth="1"/>
    <col min="52" max="52" width="16.28515625" style="42" hidden="1" customWidth="1"/>
    <col min="53" max="53" width="1.5703125" style="118" hidden="1" customWidth="1"/>
    <col min="54" max="54" width="16.28515625" style="42" hidden="1" customWidth="1"/>
    <col min="55" max="55" width="5.140625" style="118" hidden="1" customWidth="1"/>
    <col min="56" max="56" width="1.5703125" style="118" hidden="1" customWidth="1"/>
    <col min="57" max="57" width="5.140625" style="118" hidden="1" customWidth="1"/>
    <col min="58" max="58" width="6.42578125" style="118" hidden="1" customWidth="1"/>
    <col min="59" max="59" width="6.42578125" style="81" hidden="1" customWidth="1"/>
    <col min="60" max="60" width="5.85546875" style="82" hidden="1" customWidth="1"/>
    <col min="61" max="61" width="28.85546875" style="83" hidden="1" customWidth="1"/>
    <col min="62" max="62" width="34" style="45" hidden="1" customWidth="1"/>
    <col min="63" max="63" width="18.7109375" style="146" hidden="1" customWidth="1"/>
    <col min="64" max="64" width="16.28515625" style="82" hidden="1" customWidth="1"/>
    <col min="65" max="65" width="5.7109375" style="82" hidden="1" customWidth="1"/>
    <col min="66" max="66" width="5.85546875" style="5" customWidth="1"/>
    <col min="67" max="67" width="10.140625" style="5" customWidth="1"/>
    <col min="68" max="68" width="0.140625" style="5" hidden="1" customWidth="1"/>
    <col min="69" max="69" width="28" style="5" customWidth="1"/>
    <col min="70" max="16384" width="9.140625" style="5"/>
  </cols>
  <sheetData>
    <row r="1" spans="2:70" ht="14.25" customHeight="1" x14ac:dyDescent="0.25">
      <c r="K1" s="2" t="e">
        <f>count</f>
        <v>#NAME?</v>
      </c>
    </row>
    <row r="2" spans="2:70" ht="14.25" customHeight="1" x14ac:dyDescent="0.25">
      <c r="B2" s="71" t="s">
        <v>0</v>
      </c>
      <c r="C2" s="72"/>
      <c r="D2" s="135"/>
      <c r="E2" s="27"/>
      <c r="F2" s="72"/>
      <c r="G2" s="27"/>
      <c r="H2" s="27"/>
      <c r="I2" s="135"/>
      <c r="L2" s="3"/>
      <c r="M2" s="4"/>
      <c r="N2" s="4"/>
      <c r="O2" s="4"/>
      <c r="P2" s="4"/>
      <c r="R2" s="6" t="s">
        <v>82</v>
      </c>
      <c r="S2" s="6"/>
      <c r="T2" s="6"/>
      <c r="U2" s="6"/>
      <c r="V2" s="73"/>
      <c r="X2" s="74"/>
      <c r="Y2" s="75"/>
      <c r="Z2" s="75"/>
      <c r="AA2" s="75"/>
      <c r="AB2" s="74"/>
      <c r="AX2" s="78" t="s">
        <v>0</v>
      </c>
      <c r="AY2" s="79"/>
      <c r="AZ2" s="79"/>
      <c r="BA2" s="80"/>
      <c r="BB2" s="79"/>
      <c r="BC2" s="80"/>
      <c r="BD2" s="80"/>
      <c r="BE2" s="80"/>
      <c r="BF2" s="80"/>
      <c r="BI2" s="6" t="s">
        <v>82</v>
      </c>
      <c r="BJ2" s="73"/>
      <c r="BK2" s="73"/>
      <c r="BL2" s="83"/>
      <c r="BM2" s="83"/>
    </row>
    <row r="3" spans="2:70" ht="12.75" x14ac:dyDescent="0.25">
      <c r="B3" s="11" t="s">
        <v>2</v>
      </c>
      <c r="C3" s="84" t="s">
        <v>3</v>
      </c>
      <c r="D3" s="187" t="s">
        <v>2</v>
      </c>
      <c r="E3" s="188"/>
      <c r="F3" s="189"/>
      <c r="G3" s="204" t="s">
        <v>4</v>
      </c>
      <c r="H3" s="204"/>
      <c r="I3" s="204"/>
      <c r="J3" s="7" t="s">
        <v>81</v>
      </c>
      <c r="L3" s="8" t="s">
        <v>0</v>
      </c>
      <c r="M3" s="9" t="s">
        <v>89</v>
      </c>
      <c r="N3" s="9" t="s">
        <v>90</v>
      </c>
      <c r="O3" s="9" t="s">
        <v>91</v>
      </c>
      <c r="P3" s="10" t="s">
        <v>101</v>
      </c>
      <c r="R3" s="11" t="s">
        <v>83</v>
      </c>
      <c r="S3" s="188" t="s">
        <v>127</v>
      </c>
      <c r="T3" s="188"/>
      <c r="U3" s="188"/>
      <c r="V3" s="194"/>
      <c r="X3" s="85" t="s">
        <v>87</v>
      </c>
      <c r="Y3" s="85" t="s">
        <v>89</v>
      </c>
      <c r="Z3" s="85" t="s">
        <v>90</v>
      </c>
      <c r="AA3" s="85" t="s">
        <v>91</v>
      </c>
      <c r="AB3" s="85" t="s">
        <v>88</v>
      </c>
      <c r="AC3" s="85" t="s">
        <v>89</v>
      </c>
      <c r="AD3" s="85" t="s">
        <v>90</v>
      </c>
      <c r="AE3" s="85" t="s">
        <v>91</v>
      </c>
      <c r="AG3" s="86" t="s">
        <v>99</v>
      </c>
      <c r="AH3" s="86" t="s">
        <v>98</v>
      </c>
      <c r="AI3" s="86" t="s">
        <v>97</v>
      </c>
      <c r="AJ3" s="85" t="s">
        <v>96</v>
      </c>
      <c r="AK3" s="85" t="s">
        <v>95</v>
      </c>
      <c r="AL3" s="85" t="s">
        <v>92</v>
      </c>
      <c r="AM3" s="85" t="s">
        <v>89</v>
      </c>
      <c r="AN3" s="85" t="s">
        <v>90</v>
      </c>
      <c r="AO3" s="85" t="s">
        <v>91</v>
      </c>
      <c r="AP3" s="86" t="s">
        <v>93</v>
      </c>
      <c r="AR3" s="85" t="s">
        <v>94</v>
      </c>
      <c r="AS3" s="85" t="s">
        <v>92</v>
      </c>
      <c r="AT3" s="85" t="s">
        <v>89</v>
      </c>
      <c r="AU3" s="85" t="s">
        <v>90</v>
      </c>
      <c r="AV3" s="85" t="s">
        <v>91</v>
      </c>
      <c r="AW3" s="86" t="s">
        <v>93</v>
      </c>
      <c r="AX3" s="87" t="s">
        <v>2</v>
      </c>
      <c r="AY3" s="88" t="s">
        <v>3</v>
      </c>
      <c r="AZ3" s="205" t="s">
        <v>2</v>
      </c>
      <c r="BA3" s="197"/>
      <c r="BB3" s="206"/>
      <c r="BC3" s="197" t="s">
        <v>4</v>
      </c>
      <c r="BD3" s="197"/>
      <c r="BE3" s="197"/>
      <c r="BF3" s="89" t="s">
        <v>81</v>
      </c>
      <c r="BG3" s="7" t="s">
        <v>89</v>
      </c>
      <c r="BI3" s="11" t="s">
        <v>83</v>
      </c>
      <c r="BJ3" s="9" t="s">
        <v>86</v>
      </c>
      <c r="BK3" s="10" t="s">
        <v>89</v>
      </c>
      <c r="BL3" s="24"/>
      <c r="BM3" s="24"/>
      <c r="BO3" s="169" t="s">
        <v>113</v>
      </c>
      <c r="BP3" s="170"/>
      <c r="BQ3" s="185" t="s">
        <v>112</v>
      </c>
      <c r="BR3" s="186" t="s">
        <v>89</v>
      </c>
    </row>
    <row r="4" spans="2:70" ht="14.25" customHeight="1" x14ac:dyDescent="0.25">
      <c r="B4" s="16">
        <v>1</v>
      </c>
      <c r="C4" s="90">
        <v>43265</v>
      </c>
      <c r="D4" s="91" t="s">
        <v>79</v>
      </c>
      <c r="E4" s="92" t="s">
        <v>6</v>
      </c>
      <c r="F4" s="93" t="s">
        <v>164</v>
      </c>
      <c r="G4" s="63"/>
      <c r="H4" s="94" t="s">
        <v>6</v>
      </c>
      <c r="I4" s="63"/>
      <c r="J4" s="65" t="str">
        <f>IF(OR(ISBLANK(G4),ISBLANK(I4)),"",IF(G4&gt;I4,1,IF(G4&lt;I4,2,"X")))</f>
        <v/>
      </c>
      <c r="K4" s="12">
        <v>1</v>
      </c>
      <c r="L4" s="13" t="str">
        <f>VLOOKUP(K4,$AR$4:$AW$7,2,FALSE)</f>
        <v>Ryssland</v>
      </c>
      <c r="M4" s="14">
        <f>VLOOKUP(L4,$AS$4:$AW$7,2,FALSE)</f>
        <v>0</v>
      </c>
      <c r="N4" s="14">
        <f>VLOOKUP(L4,$AS$4:$AW$7,3,FALSE)</f>
        <v>0</v>
      </c>
      <c r="O4" s="14">
        <f>VLOOKUP(L4,$AS$4:$AW$7,4,FALSE)</f>
        <v>0</v>
      </c>
      <c r="P4" s="15">
        <f>VLOOKUP(L4,$AS$4:$AW$7,5,FALSE)</f>
        <v>0</v>
      </c>
      <c r="R4" s="16" t="s">
        <v>84</v>
      </c>
      <c r="S4" s="201"/>
      <c r="T4" s="202"/>
      <c r="U4" s="202"/>
      <c r="V4" s="203"/>
      <c r="X4" s="95" t="str">
        <f>D4</f>
        <v>Ryssland</v>
      </c>
      <c r="Y4" s="96">
        <f t="shared" ref="Y4:Y9" si="0">IF(G4="",0,IF($G4&lt;$I4,0,IF($G4=$I4,1,3)))</f>
        <v>0</v>
      </c>
      <c r="Z4" s="96">
        <f t="shared" ref="Z4:Z9" si="1">G4</f>
        <v>0</v>
      </c>
      <c r="AA4" s="96">
        <f t="shared" ref="AA4:AA9" si="2">I4</f>
        <v>0</v>
      </c>
      <c r="AB4" s="95" t="str">
        <f>F4</f>
        <v>Saudiarabien</v>
      </c>
      <c r="AC4" s="96">
        <f t="shared" ref="AC4:AC9" si="3">IF(I4="",0,IF(I4&lt;G4,0,IF(I4=G4,1,3)))</f>
        <v>0</v>
      </c>
      <c r="AD4" s="77">
        <f t="shared" ref="AD4:AD9" si="4">I4</f>
        <v>0</v>
      </c>
      <c r="AE4" s="77">
        <f t="shared" ref="AE4:AE9" si="5">G4</f>
        <v>0</v>
      </c>
      <c r="AG4" s="76">
        <f>RANK($AH4,$AH$4:$AH$7,1)+COUNTIF($AH$4:$AH4,$AH4)-1</f>
        <v>1</v>
      </c>
      <c r="AH4" s="76">
        <f>AI4+AJ4+AK4</f>
        <v>1</v>
      </c>
      <c r="AI4" s="76">
        <f>SUMPRODUCT(($AM$4:$AM$7=AM4)*($AP$4:$AP$7=AP4)*($AN$4:$AN$7&gt;AN4))</f>
        <v>0</v>
      </c>
      <c r="AJ4" s="76">
        <f>SUMPRODUCT(($AM$4:$AM$7=AM4)*($AP$4:$AP$7&gt;AP4))</f>
        <v>0</v>
      </c>
      <c r="AK4" s="76">
        <f>RANK(AM4,$AM$4:$AM$7)</f>
        <v>1</v>
      </c>
      <c r="AL4" s="95" t="s">
        <v>79</v>
      </c>
      <c r="AM4" s="76">
        <f>SUMIF($X$4:$X$9,$AL4,$Y$4:$Y$9)+SUMIF($AB$4:$AB$9,$AL4,$AC$4:$AC$9)</f>
        <v>0</v>
      </c>
      <c r="AN4" s="76">
        <f>SUMIF($X$4:$X$9,AL4,$Z$4:$Z$9)+SUMIF($AB$4:$AB$9,AL4,$AD$4:$AD$9)</f>
        <v>0</v>
      </c>
      <c r="AO4" s="76">
        <f>SUMIF($AB$4:$AB$9,AL4,$AE$4:$AE$9)+SUMIF($X$4:$X$9,AL4,$AA$4:$AA$9)</f>
        <v>0</v>
      </c>
      <c r="AP4" s="76">
        <f>AN4-AO4</f>
        <v>0</v>
      </c>
      <c r="AR4" s="76">
        <v>1</v>
      </c>
      <c r="AS4" s="76" t="str">
        <f>VLOOKUP($AR4,$AG$4:$AP$7,6,FALSE)</f>
        <v>Ryssland</v>
      </c>
      <c r="AT4" s="76">
        <f>VLOOKUP($AS4,$AL$4:$AP$7,2,FALSE)</f>
        <v>0</v>
      </c>
      <c r="AU4" s="76">
        <f>VLOOKUP($AS4,$AL$4:$AP$7,3,FALSE)</f>
        <v>0</v>
      </c>
      <c r="AV4" s="76">
        <f>VLOOKUP($AS4,$AL$4:$AP$7,4,FALSE)</f>
        <v>0</v>
      </c>
      <c r="AW4" s="76">
        <f>VLOOKUP($AS4,$AL$4:$AP$7,5,FALSE)</f>
        <v>0</v>
      </c>
      <c r="AX4" s="97">
        <v>1</v>
      </c>
      <c r="AY4" s="98">
        <v>41803</v>
      </c>
      <c r="AZ4" s="99" t="s">
        <v>5</v>
      </c>
      <c r="BA4" s="100" t="s">
        <v>6</v>
      </c>
      <c r="BB4" s="101" t="s">
        <v>7</v>
      </c>
      <c r="BC4" s="171" t="e">
        <f>IF(G4=#REF!,2,0)</f>
        <v>#REF!</v>
      </c>
      <c r="BD4" s="65" t="s">
        <v>6</v>
      </c>
      <c r="BE4" s="171" t="e">
        <f>IF(I4=#REF!,2,0)</f>
        <v>#REF!</v>
      </c>
      <c r="BF4" s="102" t="e">
        <f>IF(J4=#REF!,2,0)</f>
        <v>#REF!</v>
      </c>
      <c r="BG4" s="103" t="e">
        <f>SUM(BC4+BE4+BF4)</f>
        <v>#REF!</v>
      </c>
      <c r="BH4" s="104"/>
      <c r="BI4" s="16" t="s">
        <v>85</v>
      </c>
      <c r="BJ4" s="105"/>
      <c r="BK4" s="106" t="e">
        <f>IF(#REF!=#REF!,30,0)</f>
        <v>#REF!</v>
      </c>
      <c r="BL4" s="49"/>
      <c r="BM4" s="49"/>
      <c r="BO4" s="94">
        <v>1</v>
      </c>
      <c r="BP4" s="16"/>
      <c r="BQ4" s="179" t="s">
        <v>104</v>
      </c>
      <c r="BR4" s="180">
        <f>'Mitt tips'!V20</f>
        <v>0</v>
      </c>
    </row>
    <row r="5" spans="2:70" ht="14.25" customHeight="1" x14ac:dyDescent="0.25">
      <c r="B5" s="16">
        <v>2</v>
      </c>
      <c r="C5" s="107">
        <v>43266</v>
      </c>
      <c r="D5" s="91" t="s">
        <v>165</v>
      </c>
      <c r="E5" s="92" t="s">
        <v>6</v>
      </c>
      <c r="F5" s="93" t="s">
        <v>55</v>
      </c>
      <c r="G5" s="63"/>
      <c r="H5" s="94" t="s">
        <v>6</v>
      </c>
      <c r="I5" s="63"/>
      <c r="J5" s="65" t="str">
        <f t="shared" ref="J5:J9" si="6">IF(OR(ISBLANK(G5),ISBLANK(I5)),"",IF(G5&gt;I5,1,IF(G5&lt;I5,2,"X")))</f>
        <v/>
      </c>
      <c r="K5" s="2">
        <v>2</v>
      </c>
      <c r="L5" s="17" t="str">
        <f>VLOOKUP(K5,$AR$4:$AW$7,2,FALSE)</f>
        <v>Saudiarabien</v>
      </c>
      <c r="M5" s="18">
        <f>VLOOKUP(L5,$AS$4:$AW$7,2,FALSE)</f>
        <v>0</v>
      </c>
      <c r="N5" s="18">
        <f>VLOOKUP(L5,$AS$4:$AW$7,3,FALSE)</f>
        <v>0</v>
      </c>
      <c r="O5" s="18">
        <f>VLOOKUP(L5,$AS$4:$AW$7,4,FALSE)</f>
        <v>0</v>
      </c>
      <c r="P5" s="19">
        <f>VLOOKUP(L5,$AS$4:$AW$7,5,FALSE)</f>
        <v>0</v>
      </c>
      <c r="R5" s="16" t="s">
        <v>122</v>
      </c>
      <c r="S5" s="198"/>
      <c r="T5" s="199"/>
      <c r="U5" s="199"/>
      <c r="V5" s="200"/>
      <c r="X5" s="95" t="str">
        <f t="shared" ref="X5:X9" si="7">D5</f>
        <v>Egypten</v>
      </c>
      <c r="Y5" s="96">
        <f t="shared" si="0"/>
        <v>0</v>
      </c>
      <c r="Z5" s="96">
        <f t="shared" si="1"/>
        <v>0</v>
      </c>
      <c r="AA5" s="96">
        <f t="shared" si="2"/>
        <v>0</v>
      </c>
      <c r="AB5" s="95" t="str">
        <f t="shared" ref="AB5:AB9" si="8">F5</f>
        <v>Uruguay</v>
      </c>
      <c r="AC5" s="96">
        <f t="shared" si="3"/>
        <v>0</v>
      </c>
      <c r="AD5" s="77">
        <f t="shared" si="4"/>
        <v>0</v>
      </c>
      <c r="AE5" s="77">
        <f t="shared" si="5"/>
        <v>0</v>
      </c>
      <c r="AG5" s="76">
        <f>RANK($AH5,$AH$4:$AH$7,1)+COUNTIF($AH$4:$AH5,$AH5)-1</f>
        <v>2</v>
      </c>
      <c r="AH5" s="76">
        <f t="shared" ref="AH5:AH7" si="9">AI5+AJ5+AK5</f>
        <v>1</v>
      </c>
      <c r="AI5" s="76">
        <f t="shared" ref="AI5:AI7" si="10">SUMPRODUCT(($AM$4:$AM$7=AM5)*($AP$4:$AP$7=AP5)*($AN$4:$AN$7&gt;AN5))</f>
        <v>0</v>
      </c>
      <c r="AJ5" s="76">
        <f t="shared" ref="AJ5:AJ7" si="11">SUMPRODUCT(($AM$4:$AM$7=AM5)*($AP$4:$AP$7&gt;AP5))</f>
        <v>0</v>
      </c>
      <c r="AK5" s="76">
        <f t="shared" ref="AK5:AK7" si="12">RANK(AM5,$AM$4:$AM$7)</f>
        <v>1</v>
      </c>
      <c r="AL5" s="95" t="s">
        <v>164</v>
      </c>
      <c r="AM5" s="76">
        <f t="shared" ref="AM5:AM7" si="13">SUMIF($X$4:$X$9,$AL5,$Y$4:$Y$9)+SUMIF($AB$4:$AB$9,$AL5,$AC$4:$AC$9)</f>
        <v>0</v>
      </c>
      <c r="AN5" s="76">
        <f>SUMIF($X$4:$X$9,AL5,$Z$4:$Z$9)+SUMIF($AB$4:$AB$9,AL5,$AD$4:$AD$9)</f>
        <v>0</v>
      </c>
      <c r="AO5" s="76">
        <f t="shared" ref="AO5:AO7" si="14">SUMIF($AB$4:$AB$9,AL5,$AE$4:$AE$9)+SUMIF($X$4:$X$9,AL5,$AA$4:$AA$9)</f>
        <v>0</v>
      </c>
      <c r="AP5" s="76">
        <f t="shared" ref="AP5:AP7" si="15">AN5-AO5</f>
        <v>0</v>
      </c>
      <c r="AR5" s="76">
        <v>2</v>
      </c>
      <c r="AS5" s="76" t="str">
        <f t="shared" ref="AS5:AS7" si="16">VLOOKUP($AR5,$AG$4:$AP$7,6,FALSE)</f>
        <v>Saudiarabien</v>
      </c>
      <c r="AT5" s="76">
        <f t="shared" ref="AT5:AT7" si="17">VLOOKUP($AS5,$AL$4:$AP$7,2,FALSE)</f>
        <v>0</v>
      </c>
      <c r="AU5" s="76">
        <f t="shared" ref="AU5:AU7" si="18">VLOOKUP($AS5,$AL$4:$AP$7,3,FALSE)</f>
        <v>0</v>
      </c>
      <c r="AV5" s="76">
        <f t="shared" ref="AV5:AV7" si="19">VLOOKUP($AS5,$AL$4:$AP$7,4,FALSE)</f>
        <v>0</v>
      </c>
      <c r="AW5" s="76">
        <f t="shared" ref="AW5:AW7" si="20">VLOOKUP($AS5,$AL$4:$AP$7,5,FALSE)</f>
        <v>0</v>
      </c>
      <c r="AX5" s="97">
        <v>2</v>
      </c>
      <c r="AY5" s="108">
        <v>41803.541666666664</v>
      </c>
      <c r="AZ5" s="99" t="s">
        <v>10</v>
      </c>
      <c r="BA5" s="100" t="s">
        <v>6</v>
      </c>
      <c r="BB5" s="101" t="s">
        <v>11</v>
      </c>
      <c r="BC5" s="171" t="e">
        <f>IF(G5=#REF!,2,0)</f>
        <v>#REF!</v>
      </c>
      <c r="BD5" s="65" t="s">
        <v>6</v>
      </c>
      <c r="BE5" s="171" t="e">
        <f>IF(I5=#REF!,2,0)</f>
        <v>#REF!</v>
      </c>
      <c r="BF5" s="102" t="e">
        <f>IF(J5=#REF!,2,0)</f>
        <v>#REF!</v>
      </c>
      <c r="BG5" s="103" t="e">
        <f t="shared" ref="BG5:BG9" si="21">SUM(BC5+BE5+BF5)</f>
        <v>#REF!</v>
      </c>
      <c r="BI5" s="16" t="s">
        <v>84</v>
      </c>
      <c r="BJ5" s="109"/>
      <c r="BK5" s="106" t="e">
        <f>IF(S4=#REF!,30,0)</f>
        <v>#REF!</v>
      </c>
      <c r="BL5" s="49"/>
      <c r="BM5" s="49"/>
      <c r="BO5" s="94">
        <v>2</v>
      </c>
      <c r="BP5" s="16"/>
      <c r="BQ5" s="179"/>
      <c r="BR5" s="180"/>
    </row>
    <row r="6" spans="2:70" ht="14.25" customHeight="1" x14ac:dyDescent="0.25">
      <c r="B6" s="16">
        <v>17</v>
      </c>
      <c r="C6" s="107">
        <v>43270</v>
      </c>
      <c r="D6" s="110" t="s">
        <v>79</v>
      </c>
      <c r="E6" s="92" t="s">
        <v>6</v>
      </c>
      <c r="F6" s="93" t="s">
        <v>165</v>
      </c>
      <c r="G6" s="63"/>
      <c r="H6" s="94" t="s">
        <v>6</v>
      </c>
      <c r="I6" s="63"/>
      <c r="J6" s="65" t="str">
        <f t="shared" si="6"/>
        <v/>
      </c>
      <c r="K6" s="2">
        <v>3</v>
      </c>
      <c r="L6" s="20" t="str">
        <f>VLOOKUP(K6,$AR$4:$AW$7,2,FALSE)</f>
        <v>Egypten</v>
      </c>
      <c r="M6" s="14">
        <f>VLOOKUP(L6,$AS$4:$AW$7,2,FALSE)</f>
        <v>0</v>
      </c>
      <c r="N6" s="14">
        <f>VLOOKUP(L6,$AS$4:$AW$7,3,FALSE)</f>
        <v>0</v>
      </c>
      <c r="O6" s="14">
        <f>VLOOKUP(L6,$AS$4:$AW$7,4,FALSE)</f>
        <v>0</v>
      </c>
      <c r="P6" s="15">
        <f>VLOOKUP(L6,$AS$4:$AW$7,5,FALSE)</f>
        <v>0</v>
      </c>
      <c r="R6" s="16" t="s">
        <v>161</v>
      </c>
      <c r="S6" s="198"/>
      <c r="T6" s="199"/>
      <c r="U6" s="199"/>
      <c r="V6" s="200"/>
      <c r="X6" s="95" t="str">
        <f t="shared" si="7"/>
        <v>Ryssland</v>
      </c>
      <c r="Y6" s="96">
        <f t="shared" si="0"/>
        <v>0</v>
      </c>
      <c r="Z6" s="96">
        <f t="shared" si="1"/>
        <v>0</v>
      </c>
      <c r="AA6" s="96">
        <f t="shared" si="2"/>
        <v>0</v>
      </c>
      <c r="AB6" s="95" t="str">
        <f t="shared" si="8"/>
        <v>Egypten</v>
      </c>
      <c r="AC6" s="96">
        <f t="shared" si="3"/>
        <v>0</v>
      </c>
      <c r="AD6" s="77">
        <f t="shared" si="4"/>
        <v>0</v>
      </c>
      <c r="AE6" s="77">
        <f t="shared" si="5"/>
        <v>0</v>
      </c>
      <c r="AG6" s="76">
        <f>RANK($AH6,$AH$4:$AH$7,1)+COUNTIF($AH$4:$AH6,$AH6)-1</f>
        <v>3</v>
      </c>
      <c r="AH6" s="76">
        <f t="shared" si="9"/>
        <v>1</v>
      </c>
      <c r="AI6" s="76">
        <f t="shared" si="10"/>
        <v>0</v>
      </c>
      <c r="AJ6" s="76">
        <f t="shared" si="11"/>
        <v>0</v>
      </c>
      <c r="AK6" s="76">
        <f t="shared" si="12"/>
        <v>1</v>
      </c>
      <c r="AL6" s="95" t="s">
        <v>165</v>
      </c>
      <c r="AM6" s="76">
        <f t="shared" si="13"/>
        <v>0</v>
      </c>
      <c r="AN6" s="76">
        <f>SUMIF($X$4:$X$9,AL6,$Z$4:$Z$9)+SUMIF($AB$4:$AB$9,AL6,$AD$4:$AD$9)</f>
        <v>0</v>
      </c>
      <c r="AO6" s="76">
        <f t="shared" si="14"/>
        <v>0</v>
      </c>
      <c r="AP6" s="76">
        <f t="shared" si="15"/>
        <v>0</v>
      </c>
      <c r="AR6" s="76">
        <v>3</v>
      </c>
      <c r="AS6" s="76" t="str">
        <f t="shared" si="16"/>
        <v>Egypten</v>
      </c>
      <c r="AT6" s="76">
        <f t="shared" si="17"/>
        <v>0</v>
      </c>
      <c r="AU6" s="76">
        <f t="shared" si="18"/>
        <v>0</v>
      </c>
      <c r="AV6" s="76">
        <f t="shared" si="19"/>
        <v>0</v>
      </c>
      <c r="AW6" s="76">
        <f t="shared" si="20"/>
        <v>0</v>
      </c>
      <c r="AX6" s="97">
        <v>17</v>
      </c>
      <c r="AY6" s="108">
        <v>41807.666666666664</v>
      </c>
      <c r="AZ6" s="99" t="s">
        <v>5</v>
      </c>
      <c r="BA6" s="100" t="s">
        <v>6</v>
      </c>
      <c r="BB6" s="101" t="s">
        <v>10</v>
      </c>
      <c r="BC6" s="171" t="e">
        <f>IF(G6=#REF!,2,0)</f>
        <v>#REF!</v>
      </c>
      <c r="BD6" s="65" t="s">
        <v>6</v>
      </c>
      <c r="BE6" s="171" t="e">
        <f>IF(I6=#REF!,2,0)</f>
        <v>#REF!</v>
      </c>
      <c r="BF6" s="102" t="e">
        <f>IF(J6=#REF!,2,0)</f>
        <v>#REF!</v>
      </c>
      <c r="BG6" s="103" t="e">
        <f t="shared" si="21"/>
        <v>#REF!</v>
      </c>
      <c r="BL6" s="49"/>
      <c r="BM6" s="49"/>
      <c r="BO6" s="172">
        <v>3</v>
      </c>
      <c r="BP6" s="173"/>
      <c r="BQ6" s="181"/>
      <c r="BR6" s="182"/>
    </row>
    <row r="7" spans="2:70" ht="14.25" customHeight="1" x14ac:dyDescent="0.25">
      <c r="B7" s="16">
        <v>18</v>
      </c>
      <c r="C7" s="107">
        <v>43271</v>
      </c>
      <c r="D7" s="91" t="s">
        <v>55</v>
      </c>
      <c r="E7" s="92" t="s">
        <v>6</v>
      </c>
      <c r="F7" s="93" t="s">
        <v>164</v>
      </c>
      <c r="G7" s="63"/>
      <c r="H7" s="94" t="s">
        <v>6</v>
      </c>
      <c r="I7" s="63"/>
      <c r="J7" s="65" t="str">
        <f t="shared" si="6"/>
        <v/>
      </c>
      <c r="K7" s="2">
        <v>4</v>
      </c>
      <c r="L7" s="21" t="str">
        <f>VLOOKUP(K7,$AR$4:$AW$7,2,FALSE)</f>
        <v>Uruguay</v>
      </c>
      <c r="M7" s="18">
        <f>VLOOKUP(L7,$AS$4:$AW$7,2,FALSE)</f>
        <v>0</v>
      </c>
      <c r="N7" s="18">
        <f>VLOOKUP(L7,$AS$4:$AW$7,3,FALSE)</f>
        <v>0</v>
      </c>
      <c r="O7" s="18">
        <f>VLOOKUP(L7,$AS$4:$AW$7,4,FALSE)</f>
        <v>0</v>
      </c>
      <c r="P7" s="19">
        <f>VLOOKUP(L7,$AS$4:$AW$7,5,FALSE)</f>
        <v>0</v>
      </c>
      <c r="R7" s="22"/>
      <c r="S7" s="22"/>
      <c r="T7" s="22"/>
      <c r="U7" s="22"/>
      <c r="V7" s="5"/>
      <c r="X7" s="95" t="str">
        <f t="shared" si="7"/>
        <v>Uruguay</v>
      </c>
      <c r="Y7" s="96">
        <f t="shared" si="0"/>
        <v>0</v>
      </c>
      <c r="Z7" s="96">
        <f t="shared" si="1"/>
        <v>0</v>
      </c>
      <c r="AA7" s="96">
        <f t="shared" si="2"/>
        <v>0</v>
      </c>
      <c r="AB7" s="95" t="str">
        <f t="shared" si="8"/>
        <v>Saudiarabien</v>
      </c>
      <c r="AC7" s="96">
        <f t="shared" si="3"/>
        <v>0</v>
      </c>
      <c r="AD7" s="77">
        <f t="shared" si="4"/>
        <v>0</v>
      </c>
      <c r="AE7" s="77">
        <f t="shared" si="5"/>
        <v>0</v>
      </c>
      <c r="AG7" s="76">
        <f>RANK($AH7,$AH$4:$AH$7,1)+COUNTIF($AH$4:$AH7,$AH7)-1</f>
        <v>4</v>
      </c>
      <c r="AH7" s="76">
        <f t="shared" si="9"/>
        <v>1</v>
      </c>
      <c r="AI7" s="76">
        <f t="shared" si="10"/>
        <v>0</v>
      </c>
      <c r="AJ7" s="76">
        <f t="shared" si="11"/>
        <v>0</v>
      </c>
      <c r="AK7" s="76">
        <f t="shared" si="12"/>
        <v>1</v>
      </c>
      <c r="AL7" s="95" t="s">
        <v>55</v>
      </c>
      <c r="AM7" s="76">
        <f t="shared" si="13"/>
        <v>0</v>
      </c>
      <c r="AN7" s="76">
        <f>SUMIF($X$4:$X$9,AL7,$Z$4:$Z$9)+SUMIF($AB$4:$AB$9,AL7,$AD$4:$AD$9)</f>
        <v>0</v>
      </c>
      <c r="AO7" s="76">
        <f t="shared" si="14"/>
        <v>0</v>
      </c>
      <c r="AP7" s="76">
        <f t="shared" si="15"/>
        <v>0</v>
      </c>
      <c r="AR7" s="76">
        <v>4</v>
      </c>
      <c r="AS7" s="76" t="str">
        <f t="shared" si="16"/>
        <v>Uruguay</v>
      </c>
      <c r="AT7" s="76">
        <f t="shared" si="17"/>
        <v>0</v>
      </c>
      <c r="AU7" s="76">
        <f t="shared" si="18"/>
        <v>0</v>
      </c>
      <c r="AV7" s="76">
        <f t="shared" si="19"/>
        <v>0</v>
      </c>
      <c r="AW7" s="76">
        <f t="shared" si="20"/>
        <v>0</v>
      </c>
      <c r="AX7" s="97">
        <v>18</v>
      </c>
      <c r="AY7" s="108">
        <v>41808.75</v>
      </c>
      <c r="AZ7" s="99" t="s">
        <v>11</v>
      </c>
      <c r="BA7" s="100" t="s">
        <v>6</v>
      </c>
      <c r="BB7" s="101" t="s">
        <v>7</v>
      </c>
      <c r="BC7" s="171" t="e">
        <f>IF(G7=#REF!,2,0)</f>
        <v>#REF!</v>
      </c>
      <c r="BD7" s="65" t="s">
        <v>6</v>
      </c>
      <c r="BE7" s="171" t="e">
        <f>IF(I7=#REF!,2,0)</f>
        <v>#REF!</v>
      </c>
      <c r="BF7" s="102" t="e">
        <f>IF(J7=#REF!,2,0)</f>
        <v>#REF!</v>
      </c>
      <c r="BG7" s="103" t="e">
        <f t="shared" si="21"/>
        <v>#REF!</v>
      </c>
      <c r="BI7" s="45"/>
      <c r="BJ7" s="49"/>
      <c r="BK7" s="49"/>
      <c r="BL7" s="49"/>
      <c r="BM7" s="49"/>
      <c r="BO7" s="94">
        <v>4</v>
      </c>
      <c r="BP7" s="16"/>
      <c r="BQ7" s="179"/>
      <c r="BR7" s="183"/>
    </row>
    <row r="8" spans="2:70" ht="14.25" customHeight="1" x14ac:dyDescent="0.25">
      <c r="B8" s="16">
        <v>33</v>
      </c>
      <c r="C8" s="107">
        <v>43276</v>
      </c>
      <c r="D8" s="91" t="s">
        <v>55</v>
      </c>
      <c r="E8" s="92" t="s">
        <v>6</v>
      </c>
      <c r="F8" s="93" t="s">
        <v>79</v>
      </c>
      <c r="G8" s="63"/>
      <c r="H8" s="94" t="s">
        <v>6</v>
      </c>
      <c r="I8" s="63"/>
      <c r="J8" s="65" t="str">
        <f t="shared" si="6"/>
        <v/>
      </c>
      <c r="M8" s="23"/>
      <c r="N8" s="23"/>
      <c r="O8" s="23"/>
      <c r="P8" s="23"/>
      <c r="R8" s="22"/>
      <c r="S8" s="22"/>
      <c r="T8" s="22"/>
      <c r="U8" s="22"/>
      <c r="V8" s="5"/>
      <c r="X8" s="95" t="str">
        <f t="shared" si="7"/>
        <v>Uruguay</v>
      </c>
      <c r="Y8" s="96">
        <f t="shared" si="0"/>
        <v>0</v>
      </c>
      <c r="Z8" s="96">
        <f t="shared" si="1"/>
        <v>0</v>
      </c>
      <c r="AA8" s="96">
        <f t="shared" si="2"/>
        <v>0</v>
      </c>
      <c r="AB8" s="95" t="str">
        <f t="shared" si="8"/>
        <v>Ryssland</v>
      </c>
      <c r="AC8" s="96">
        <f t="shared" si="3"/>
        <v>0</v>
      </c>
      <c r="AD8" s="77">
        <f t="shared" si="4"/>
        <v>0</v>
      </c>
      <c r="AE8" s="77">
        <f t="shared" si="5"/>
        <v>0</v>
      </c>
      <c r="AX8" s="97">
        <v>33</v>
      </c>
      <c r="AY8" s="108">
        <v>41813.708333333336</v>
      </c>
      <c r="AZ8" s="99" t="s">
        <v>11</v>
      </c>
      <c r="BA8" s="100" t="s">
        <v>6</v>
      </c>
      <c r="BB8" s="101" t="s">
        <v>5</v>
      </c>
      <c r="BC8" s="171" t="e">
        <f>IF(G8=#REF!,2,0)</f>
        <v>#REF!</v>
      </c>
      <c r="BD8" s="65" t="s">
        <v>6</v>
      </c>
      <c r="BE8" s="171" t="e">
        <f>IF(I8=#REF!,2,0)</f>
        <v>#REF!</v>
      </c>
      <c r="BF8" s="102" t="e">
        <f>IF(J8=#REF!,2,0)</f>
        <v>#REF!</v>
      </c>
      <c r="BG8" s="103" t="e">
        <f t="shared" si="21"/>
        <v>#REF!</v>
      </c>
      <c r="BJ8" s="49"/>
      <c r="BK8" s="49"/>
      <c r="BL8" s="49"/>
      <c r="BM8" s="49"/>
      <c r="BO8" s="94">
        <v>5</v>
      </c>
      <c r="BP8" s="16"/>
      <c r="BQ8" s="179"/>
      <c r="BR8" s="183"/>
    </row>
    <row r="9" spans="2:70" ht="14.25" customHeight="1" x14ac:dyDescent="0.25">
      <c r="B9" s="111">
        <v>34</v>
      </c>
      <c r="C9" s="107">
        <v>43276</v>
      </c>
      <c r="D9" s="91" t="s">
        <v>164</v>
      </c>
      <c r="E9" s="92" t="s">
        <v>6</v>
      </c>
      <c r="F9" s="93" t="s">
        <v>165</v>
      </c>
      <c r="G9" s="63"/>
      <c r="H9" s="94" t="s">
        <v>6</v>
      </c>
      <c r="I9" s="63"/>
      <c r="J9" s="65" t="str">
        <f t="shared" si="6"/>
        <v/>
      </c>
      <c r="M9" s="23"/>
      <c r="N9" s="23"/>
      <c r="O9" s="23"/>
      <c r="P9" s="23"/>
      <c r="R9" s="22"/>
      <c r="S9" s="22"/>
      <c r="T9" s="22"/>
      <c r="U9" s="22"/>
      <c r="V9" s="5"/>
      <c r="X9" s="95" t="str">
        <f t="shared" si="7"/>
        <v>Saudiarabien</v>
      </c>
      <c r="Y9" s="96">
        <f t="shared" si="0"/>
        <v>0</v>
      </c>
      <c r="Z9" s="96">
        <f t="shared" si="1"/>
        <v>0</v>
      </c>
      <c r="AA9" s="96">
        <f t="shared" si="2"/>
        <v>0</v>
      </c>
      <c r="AB9" s="95" t="str">
        <f t="shared" si="8"/>
        <v>Egypten</v>
      </c>
      <c r="AC9" s="96">
        <f t="shared" si="3"/>
        <v>0</v>
      </c>
      <c r="AD9" s="77">
        <f t="shared" si="4"/>
        <v>0</v>
      </c>
      <c r="AE9" s="77">
        <f t="shared" si="5"/>
        <v>0</v>
      </c>
      <c r="AX9" s="112">
        <v>34</v>
      </c>
      <c r="AY9" s="113">
        <v>41813.708333333336</v>
      </c>
      <c r="AZ9" s="114" t="s">
        <v>7</v>
      </c>
      <c r="BA9" s="115" t="s">
        <v>6</v>
      </c>
      <c r="BB9" s="116" t="s">
        <v>10</v>
      </c>
      <c r="BC9" s="171" t="e">
        <f>IF(G9=#REF!,2,0)</f>
        <v>#REF!</v>
      </c>
      <c r="BD9" s="65" t="s">
        <v>6</v>
      </c>
      <c r="BE9" s="171" t="e">
        <f>IF(I9=#REF!,2,0)</f>
        <v>#REF!</v>
      </c>
      <c r="BF9" s="102" t="e">
        <f>IF(J9=#REF!,2,0)</f>
        <v>#REF!</v>
      </c>
      <c r="BG9" s="103" t="e">
        <f t="shared" si="21"/>
        <v>#REF!</v>
      </c>
      <c r="BJ9" s="49"/>
      <c r="BK9" s="49"/>
      <c r="BL9" s="49"/>
      <c r="BM9" s="49"/>
      <c r="BO9" s="172">
        <v>6</v>
      </c>
      <c r="BP9" s="16"/>
      <c r="BQ9" s="179"/>
      <c r="BR9" s="183"/>
    </row>
    <row r="10" spans="2:70" ht="14.25" customHeight="1" x14ac:dyDescent="0.3">
      <c r="C10" s="38"/>
      <c r="F10" s="117"/>
      <c r="J10" s="24"/>
      <c r="M10" s="23"/>
      <c r="N10" s="23"/>
      <c r="O10" s="23"/>
      <c r="P10" s="23"/>
      <c r="R10" s="22"/>
      <c r="S10" s="22"/>
      <c r="T10" s="22"/>
      <c r="U10" s="22"/>
      <c r="V10" s="5"/>
      <c r="AY10" s="41"/>
      <c r="BG10" s="119"/>
      <c r="BJ10" s="49"/>
      <c r="BK10" s="49"/>
      <c r="BL10" s="49"/>
      <c r="BM10" s="49"/>
      <c r="BO10" s="94">
        <v>7</v>
      </c>
      <c r="BP10" s="16"/>
      <c r="BQ10" s="179"/>
      <c r="BR10" s="184"/>
    </row>
    <row r="11" spans="2:70" s="26" customFormat="1" ht="14.25" customHeight="1" x14ac:dyDescent="0.3">
      <c r="B11" s="6" t="s">
        <v>24</v>
      </c>
      <c r="C11" s="120"/>
      <c r="D11" s="135"/>
      <c r="E11" s="27"/>
      <c r="F11" s="121"/>
      <c r="G11" s="27"/>
      <c r="H11" s="27"/>
      <c r="I11" s="122"/>
      <c r="J11" s="117"/>
      <c r="K11" s="25"/>
      <c r="M11" s="27"/>
      <c r="N11" s="27"/>
      <c r="O11" s="27"/>
      <c r="P11" s="27"/>
      <c r="R11" s="22"/>
      <c r="S11" s="22"/>
      <c r="T11" s="22"/>
      <c r="U11" s="22"/>
      <c r="X11" s="74"/>
      <c r="Y11" s="96"/>
      <c r="Z11" s="96"/>
      <c r="AA11" s="96"/>
      <c r="AB11" s="74"/>
      <c r="AC11" s="123"/>
      <c r="AD11" s="124"/>
      <c r="AE11" s="124"/>
      <c r="AF11" s="123"/>
      <c r="AG11" s="76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78" t="s">
        <v>24</v>
      </c>
      <c r="AY11" s="125"/>
      <c r="AZ11" s="79"/>
      <c r="BA11" s="80"/>
      <c r="BB11" s="79"/>
      <c r="BC11" s="80"/>
      <c r="BD11" s="80"/>
      <c r="BE11" s="126"/>
      <c r="BF11" s="80"/>
      <c r="BG11" s="24"/>
      <c r="BH11" s="127"/>
      <c r="BI11" s="1"/>
      <c r="BJ11" s="24"/>
      <c r="BK11" s="24"/>
      <c r="BL11" s="24"/>
      <c r="BM11" s="24"/>
      <c r="BO11" s="172">
        <v>8</v>
      </c>
      <c r="BP11" s="16"/>
      <c r="BQ11" s="179"/>
      <c r="BR11" s="183"/>
    </row>
    <row r="12" spans="2:70" s="26" customFormat="1" ht="14.25" customHeight="1" x14ac:dyDescent="0.25">
      <c r="B12" s="128" t="s">
        <v>2</v>
      </c>
      <c r="C12" s="129" t="s">
        <v>3</v>
      </c>
      <c r="D12" s="187" t="s">
        <v>2</v>
      </c>
      <c r="E12" s="188"/>
      <c r="F12" s="189"/>
      <c r="G12" s="188" t="s">
        <v>4</v>
      </c>
      <c r="H12" s="188"/>
      <c r="I12" s="188"/>
      <c r="J12" s="28" t="s">
        <v>81</v>
      </c>
      <c r="K12" s="25"/>
      <c r="L12" s="8" t="s">
        <v>24</v>
      </c>
      <c r="M12" s="9" t="s">
        <v>89</v>
      </c>
      <c r="N12" s="9" t="s">
        <v>90</v>
      </c>
      <c r="O12" s="9" t="s">
        <v>91</v>
      </c>
      <c r="P12" s="10" t="s">
        <v>101</v>
      </c>
      <c r="R12" s="22"/>
      <c r="S12" s="174"/>
      <c r="T12" s="174"/>
      <c r="U12" s="174"/>
      <c r="X12" s="85" t="s">
        <v>87</v>
      </c>
      <c r="Y12" s="85" t="s">
        <v>89</v>
      </c>
      <c r="Z12" s="85" t="s">
        <v>90</v>
      </c>
      <c r="AA12" s="85" t="s">
        <v>91</v>
      </c>
      <c r="AB12" s="85" t="s">
        <v>88</v>
      </c>
      <c r="AC12" s="85" t="s">
        <v>89</v>
      </c>
      <c r="AD12" s="85" t="s">
        <v>90</v>
      </c>
      <c r="AE12" s="85" t="s">
        <v>91</v>
      </c>
      <c r="AF12" s="123"/>
      <c r="AG12" s="86" t="s">
        <v>99</v>
      </c>
      <c r="AH12" s="86" t="s">
        <v>98</v>
      </c>
      <c r="AI12" s="86" t="s">
        <v>97</v>
      </c>
      <c r="AJ12" s="85" t="s">
        <v>96</v>
      </c>
      <c r="AK12" s="85" t="s">
        <v>95</v>
      </c>
      <c r="AL12" s="85" t="s">
        <v>92</v>
      </c>
      <c r="AM12" s="85" t="s">
        <v>89</v>
      </c>
      <c r="AN12" s="85" t="s">
        <v>90</v>
      </c>
      <c r="AO12" s="85" t="s">
        <v>91</v>
      </c>
      <c r="AP12" s="86" t="s">
        <v>93</v>
      </c>
      <c r="AQ12" s="123"/>
      <c r="AR12" s="85" t="s">
        <v>94</v>
      </c>
      <c r="AS12" s="85" t="s">
        <v>92</v>
      </c>
      <c r="AT12" s="85" t="s">
        <v>89</v>
      </c>
      <c r="AU12" s="85" t="s">
        <v>90</v>
      </c>
      <c r="AV12" s="85" t="s">
        <v>91</v>
      </c>
      <c r="AW12" s="86" t="s">
        <v>93</v>
      </c>
      <c r="AX12" s="130" t="s">
        <v>2</v>
      </c>
      <c r="AY12" s="131" t="s">
        <v>3</v>
      </c>
      <c r="AZ12" s="190" t="s">
        <v>2</v>
      </c>
      <c r="BA12" s="191"/>
      <c r="BB12" s="192"/>
      <c r="BC12" s="190" t="s">
        <v>4</v>
      </c>
      <c r="BD12" s="191"/>
      <c r="BE12" s="191"/>
      <c r="BF12" s="69" t="s">
        <v>81</v>
      </c>
      <c r="BG12" s="28" t="s">
        <v>89</v>
      </c>
      <c r="BH12" s="127"/>
      <c r="BI12" s="132"/>
      <c r="BJ12" s="24"/>
      <c r="BK12" s="24"/>
      <c r="BL12" s="24"/>
      <c r="BM12" s="24"/>
      <c r="BO12" s="94">
        <v>9</v>
      </c>
      <c r="BP12" s="16"/>
      <c r="BQ12" s="179"/>
      <c r="BR12" s="184"/>
    </row>
    <row r="13" spans="2:70" ht="14.25" customHeight="1" x14ac:dyDescent="0.25">
      <c r="B13" s="16">
        <v>4</v>
      </c>
      <c r="C13" s="107">
        <v>43266</v>
      </c>
      <c r="D13" s="91" t="s">
        <v>166</v>
      </c>
      <c r="E13" s="92" t="s">
        <v>6</v>
      </c>
      <c r="F13" s="93" t="s">
        <v>69</v>
      </c>
      <c r="G13" s="63"/>
      <c r="H13" s="94" t="s">
        <v>6</v>
      </c>
      <c r="I13" s="63"/>
      <c r="J13" s="65" t="str">
        <f>IF(OR(ISBLANK(G13),ISBLANK(I13)),"",IF(G13&gt;I13,1,IF(G13&lt;I13,2,"X")))</f>
        <v/>
      </c>
      <c r="K13" s="12">
        <v>1</v>
      </c>
      <c r="L13" s="13" t="str">
        <f>VLOOKUP(K13,$AR$13:$AW$16,2,FALSE)</f>
        <v>Portugal</v>
      </c>
      <c r="M13" s="14">
        <f>VLOOKUP(L13,$AS$13:$AW$16,2,FALSE)</f>
        <v>0</v>
      </c>
      <c r="N13" s="14">
        <f>VLOOKUP(L13,$AS$13:$AW$16,3,FALSE)</f>
        <v>0</v>
      </c>
      <c r="O13" s="14">
        <f>VLOOKUP(L13,$AS$13:$AW$16,4,FALSE)</f>
        <v>0</v>
      </c>
      <c r="P13" s="15">
        <f>VLOOKUP(L13,$AS$13:$AW$16,5,FALSE)</f>
        <v>0</v>
      </c>
      <c r="R13" s="22"/>
      <c r="S13" s="49"/>
      <c r="T13" s="49"/>
      <c r="U13" s="49"/>
      <c r="V13" s="5"/>
      <c r="X13" s="95" t="str">
        <f>D13</f>
        <v>Marocko</v>
      </c>
      <c r="Y13" s="96">
        <f t="shared" ref="Y13:Y18" si="22">IF(G13="",0,IF($G13&lt;$I13,0,IF($G13=$I13,1,3)))</f>
        <v>0</v>
      </c>
      <c r="Z13" s="96">
        <f t="shared" ref="Z13:Z18" si="23">G13</f>
        <v>0</v>
      </c>
      <c r="AA13" s="96">
        <f t="shared" ref="AA13:AA18" si="24">I13</f>
        <v>0</v>
      </c>
      <c r="AB13" s="95" t="str">
        <f>F13</f>
        <v>Iran</v>
      </c>
      <c r="AC13" s="96">
        <f t="shared" ref="AC13:AC18" si="25">IF(I13="",0,IF(I13&lt;G13,0,IF(I13=G13,1,3)))</f>
        <v>0</v>
      </c>
      <c r="AD13" s="77">
        <f t="shared" ref="AD13:AD18" si="26">I13</f>
        <v>0</v>
      </c>
      <c r="AE13" s="77">
        <f t="shared" ref="AE13:AE18" si="27">G13</f>
        <v>0</v>
      </c>
      <c r="AG13" s="76">
        <f>RANK($AH13,$AH$13:$AH$16,1)+COUNTIF($AH$13:$AH13,$AH13)-1</f>
        <v>1</v>
      </c>
      <c r="AH13" s="76">
        <f>AI13+AJ13+AK13</f>
        <v>1</v>
      </c>
      <c r="AI13" s="76">
        <f>SUMPRODUCT(($AM$13:$AM$16=AM13)*($AP$13:$AP$16=AP13)*($AN$13:$AN$16&gt;AN13))</f>
        <v>0</v>
      </c>
      <c r="AJ13" s="76">
        <f>SUMPRODUCT(($AM$13:$AM$16=AM13)*($AP$13:$AP$16&gt;AP13))</f>
        <v>0</v>
      </c>
      <c r="AK13" s="76">
        <f>RANK(AM13,$AM$13:$AM$16)</f>
        <v>1</v>
      </c>
      <c r="AL13" s="95" t="s">
        <v>73</v>
      </c>
      <c r="AM13" s="76">
        <f>SUMIF($X$13:$X$18,$AL13,$Y$13:$Y$18)+SUMIF($AB$13:$AB$18,$AL13,$AC$13:$AC$18)</f>
        <v>0</v>
      </c>
      <c r="AN13" s="76">
        <f>SUMIF($X$13:$X$18,$AL13,$Z$13:$Z$18)+SUMIF($AB$13:$AB$18,$AL13,$AD$13:$AD$18)</f>
        <v>0</v>
      </c>
      <c r="AO13" s="76">
        <f>SUMIF($X$13:$X$18,$AL13,$AA$13:$AA$18)+SUMIF($AB$13:$AB$18,$AL13,$AE$13:$AE$18)</f>
        <v>0</v>
      </c>
      <c r="AP13" s="76">
        <f>AN13-AO13</f>
        <v>0</v>
      </c>
      <c r="AR13" s="76">
        <v>1</v>
      </c>
      <c r="AS13" s="76" t="str">
        <f>VLOOKUP($AR13,$AG$13:$AP$16,6,FALSE)</f>
        <v>Portugal</v>
      </c>
      <c r="AT13" s="76">
        <f>VLOOKUP($AS13,$AL$13:$AP$16,2,FALSE)</f>
        <v>0</v>
      </c>
      <c r="AU13" s="76">
        <f>VLOOKUP($AS13,$AL$13:$AP$16,3,FALSE)</f>
        <v>0</v>
      </c>
      <c r="AV13" s="76">
        <f>VLOOKUP($AS13,$AL$13:$AP$16,4,FALSE)</f>
        <v>0</v>
      </c>
      <c r="AW13" s="76">
        <f>VLOOKUP($AS13,$AL$13:$AP$16,5,FALSE)</f>
        <v>0</v>
      </c>
      <c r="AX13" s="97">
        <v>3</v>
      </c>
      <c r="AY13" s="108">
        <v>41803.666666666664</v>
      </c>
      <c r="AZ13" s="99" t="s">
        <v>27</v>
      </c>
      <c r="BA13" s="100" t="s">
        <v>6</v>
      </c>
      <c r="BB13" s="101" t="s">
        <v>28</v>
      </c>
      <c r="BC13" s="171" t="e">
        <f>IF(G13=#REF!,2,0)</f>
        <v>#REF!</v>
      </c>
      <c r="BD13" s="65" t="s">
        <v>6</v>
      </c>
      <c r="BE13" s="171" t="e">
        <f>IF(I13=#REF!,2,0)</f>
        <v>#REF!</v>
      </c>
      <c r="BF13" s="102" t="e">
        <f>IF(J13=#REF!,2,0)</f>
        <v>#REF!</v>
      </c>
      <c r="BG13" s="103" t="e">
        <f t="shared" ref="BG13:BG18" si="28">SUM(BC13+BE13+BF13)</f>
        <v>#REF!</v>
      </c>
      <c r="BH13" s="104"/>
      <c r="BI13" s="78"/>
      <c r="BJ13" s="49"/>
      <c r="BK13" s="49"/>
      <c r="BL13" s="49"/>
      <c r="BM13" s="49"/>
      <c r="BO13" s="94">
        <v>10</v>
      </c>
      <c r="BP13" s="16"/>
      <c r="BQ13" s="179"/>
      <c r="BR13" s="184"/>
    </row>
    <row r="14" spans="2:70" ht="14.25" customHeight="1" x14ac:dyDescent="0.25">
      <c r="B14" s="16">
        <v>3</v>
      </c>
      <c r="C14" s="107">
        <v>43266</v>
      </c>
      <c r="D14" s="91" t="s">
        <v>73</v>
      </c>
      <c r="E14" s="92" t="s">
        <v>6</v>
      </c>
      <c r="F14" s="93" t="s">
        <v>27</v>
      </c>
      <c r="G14" s="63"/>
      <c r="H14" s="94" t="s">
        <v>6</v>
      </c>
      <c r="I14" s="63"/>
      <c r="J14" s="65" t="str">
        <f t="shared" ref="J14:J18" si="29">IF(OR(ISBLANK(G14),ISBLANK(I14)),"",IF(G14&gt;I14,1,IF(G14&lt;I14,2,"X")))</f>
        <v/>
      </c>
      <c r="K14" s="2">
        <v>2</v>
      </c>
      <c r="L14" s="17" t="str">
        <f>VLOOKUP(K14,$AR$13:$AW$16,2,FALSE)</f>
        <v>Spanien</v>
      </c>
      <c r="M14" s="18">
        <f>VLOOKUP(L14,$AS$13:$AW$16,2,FALSE)</f>
        <v>0</v>
      </c>
      <c r="N14" s="18">
        <f>VLOOKUP(L14,$AS$13:$AW$16,3,FALSE)</f>
        <v>0</v>
      </c>
      <c r="O14" s="18">
        <f>VLOOKUP(L14,$AS$13:$AW$16,4,FALSE)</f>
        <v>0</v>
      </c>
      <c r="P14" s="19">
        <f>VLOOKUP(L14,$AS$13:$AW$16,5,FALSE)</f>
        <v>0</v>
      </c>
      <c r="R14" s="22"/>
      <c r="S14" s="49"/>
      <c r="T14" s="49"/>
      <c r="U14" s="49"/>
      <c r="V14" s="5"/>
      <c r="X14" s="95" t="str">
        <f t="shared" ref="X14:X18" si="30">D14</f>
        <v>Portugal</v>
      </c>
      <c r="Y14" s="96">
        <f t="shared" si="22"/>
        <v>0</v>
      </c>
      <c r="Z14" s="96">
        <f t="shared" si="23"/>
        <v>0</v>
      </c>
      <c r="AA14" s="96">
        <f t="shared" si="24"/>
        <v>0</v>
      </c>
      <c r="AB14" s="95" t="str">
        <f t="shared" ref="AB14:AB18" si="31">F14</f>
        <v>Spanien</v>
      </c>
      <c r="AC14" s="96">
        <f t="shared" si="25"/>
        <v>0</v>
      </c>
      <c r="AD14" s="77">
        <f t="shared" si="26"/>
        <v>0</v>
      </c>
      <c r="AE14" s="77">
        <f t="shared" si="27"/>
        <v>0</v>
      </c>
      <c r="AG14" s="76">
        <f>RANK($AH14,$AH$13:$AH$16,1)+COUNTIF($AH$13:$AH14,$AH14)-1</f>
        <v>2</v>
      </c>
      <c r="AH14" s="76">
        <f>AI14+AJ14+AK14</f>
        <v>1</v>
      </c>
      <c r="AI14" s="76">
        <f>SUMPRODUCT(($AM$13:$AM$16=AM14)*($AP$13:$AP$16=AP14)*($AN$13:$AN$16&gt;AN14))</f>
        <v>0</v>
      </c>
      <c r="AJ14" s="76">
        <f>SUMPRODUCT(($AM$13:$AM$16=AM14)*($AP$13:$AP$16&gt;AP14))</f>
        <v>0</v>
      </c>
      <c r="AK14" s="76">
        <f>RANK(AM14,$AM$13:$AM$16)</f>
        <v>1</v>
      </c>
      <c r="AL14" s="95" t="s">
        <v>27</v>
      </c>
      <c r="AM14" s="76">
        <f>SUMIF($X$13:$X$18,$AL14,$Y$13:$Y$18)+SUMIF($AB$13:$AB$18,$AL14,$AC$13:$AC$18)</f>
        <v>0</v>
      </c>
      <c r="AN14" s="76">
        <f>SUMIF($X$13:$X$18,$AL14,$Z$13:$Z$18)+SUMIF($AB$13:$AB$18,AL14,$AD$13:$AD$18)</f>
        <v>0</v>
      </c>
      <c r="AO14" s="76">
        <f>SUMIF($X$13:$X$18,$AL14,$AA$13:$AA$18)+SUMIF($AB$13:$AB$18,$AL14,$AE$13:$AE$18)</f>
        <v>0</v>
      </c>
      <c r="AP14" s="76">
        <f>AN14-AO14</f>
        <v>0</v>
      </c>
      <c r="AR14" s="76">
        <v>2</v>
      </c>
      <c r="AS14" s="76" t="str">
        <f>VLOOKUP($AR14,$AG$13:$AP$16,6,FALSE)</f>
        <v>Spanien</v>
      </c>
      <c r="AT14" s="76">
        <f>VLOOKUP($AS14,$AL$13:$AP$16,2,FALSE)</f>
        <v>0</v>
      </c>
      <c r="AU14" s="76">
        <f>VLOOKUP($AS14,$AL$13:$AP$16,3,FALSE)</f>
        <v>0</v>
      </c>
      <c r="AV14" s="76">
        <f>VLOOKUP($AS14,$AL$13:$AP$16,4,FALSE)</f>
        <v>0</v>
      </c>
      <c r="AW14" s="76">
        <f>VLOOKUP($AS14,$AL$13:$AP$16,5,FALSE)</f>
        <v>0</v>
      </c>
      <c r="AX14" s="97">
        <v>4</v>
      </c>
      <c r="AY14" s="108">
        <v>41803.75</v>
      </c>
      <c r="AZ14" s="99" t="s">
        <v>30</v>
      </c>
      <c r="BA14" s="100" t="s">
        <v>6</v>
      </c>
      <c r="BB14" s="101" t="s">
        <v>31</v>
      </c>
      <c r="BC14" s="171" t="e">
        <f>IF(G14=#REF!,2,0)</f>
        <v>#REF!</v>
      </c>
      <c r="BD14" s="65" t="s">
        <v>6</v>
      </c>
      <c r="BE14" s="171" t="e">
        <f>IF(I14=#REF!,2,0)</f>
        <v>#REF!</v>
      </c>
      <c r="BF14" s="102" t="e">
        <f>IF(J14=#REF!,2,0)</f>
        <v>#REF!</v>
      </c>
      <c r="BG14" s="103" t="e">
        <f t="shared" si="28"/>
        <v>#REF!</v>
      </c>
      <c r="BI14" s="78"/>
      <c r="BJ14" s="49"/>
      <c r="BK14" s="49"/>
      <c r="BL14" s="49"/>
      <c r="BM14" s="49"/>
      <c r="BO14" s="94">
        <v>11</v>
      </c>
      <c r="BP14" s="16"/>
      <c r="BQ14" s="179"/>
      <c r="BR14" s="184"/>
    </row>
    <row r="15" spans="2:70" ht="14.25" customHeight="1" x14ac:dyDescent="0.25">
      <c r="B15" s="16">
        <v>19</v>
      </c>
      <c r="C15" s="107">
        <v>43271</v>
      </c>
      <c r="D15" s="91" t="s">
        <v>73</v>
      </c>
      <c r="E15" s="92" t="s">
        <v>6</v>
      </c>
      <c r="F15" s="93" t="s">
        <v>166</v>
      </c>
      <c r="G15" s="63"/>
      <c r="H15" s="94" t="s">
        <v>6</v>
      </c>
      <c r="I15" s="63"/>
      <c r="J15" s="65" t="str">
        <f t="shared" si="29"/>
        <v/>
      </c>
      <c r="K15" s="2">
        <v>3</v>
      </c>
      <c r="L15" s="158" t="str">
        <f>VLOOKUP(K15,$AR$13:$AW$16,2,FALSE)</f>
        <v>Marocko</v>
      </c>
      <c r="M15" s="32">
        <f>VLOOKUP(L15,$AS$13:$AW$16,2,FALSE)</f>
        <v>0</v>
      </c>
      <c r="N15" s="32">
        <f>VLOOKUP(L15,$AS$13:$AW$16,3,FALSE)</f>
        <v>0</v>
      </c>
      <c r="O15" s="32">
        <f>VLOOKUP(L15,$AS$13:$AW$16,4,FALSE)</f>
        <v>0</v>
      </c>
      <c r="P15" s="33">
        <f>VLOOKUP(L15,$AS$13:$AW$16,5,FALSE)</f>
        <v>0</v>
      </c>
      <c r="R15" s="22"/>
      <c r="S15" s="49"/>
      <c r="T15" s="49"/>
      <c r="U15" s="49"/>
      <c r="V15" s="5"/>
      <c r="X15" s="95" t="str">
        <f t="shared" si="30"/>
        <v>Portugal</v>
      </c>
      <c r="Y15" s="96">
        <f t="shared" si="22"/>
        <v>0</v>
      </c>
      <c r="Z15" s="96">
        <f t="shared" si="23"/>
        <v>0</v>
      </c>
      <c r="AA15" s="96">
        <f t="shared" si="24"/>
        <v>0</v>
      </c>
      <c r="AB15" s="95" t="str">
        <f t="shared" si="31"/>
        <v>Marocko</v>
      </c>
      <c r="AC15" s="96">
        <f t="shared" si="25"/>
        <v>0</v>
      </c>
      <c r="AD15" s="77">
        <f t="shared" si="26"/>
        <v>0</v>
      </c>
      <c r="AE15" s="77">
        <f t="shared" si="27"/>
        <v>0</v>
      </c>
      <c r="AG15" s="76">
        <f>RANK($AH15,$AH$13:$AH$16,1)+COUNTIF($AH$13:$AH15,$AH15)-1</f>
        <v>3</v>
      </c>
      <c r="AH15" s="76">
        <f>AI15+AJ15+AK15</f>
        <v>1</v>
      </c>
      <c r="AI15" s="76">
        <f>SUMPRODUCT(($AM$13:$AM$16=AM15)*($AP$13:$AP$16=AP15)*($AN$13:$AN$16&gt;AN15))</f>
        <v>0</v>
      </c>
      <c r="AJ15" s="76">
        <f>SUMPRODUCT(($AM$13:$AM$16=AM15)*($AP$13:$AP$16&gt;AP15))</f>
        <v>0</v>
      </c>
      <c r="AK15" s="76">
        <f>RANK(AM15,$AM$13:$AM$16)</f>
        <v>1</v>
      </c>
      <c r="AL15" s="95" t="s">
        <v>166</v>
      </c>
      <c r="AM15" s="76">
        <f>SUMIF($X$13:$X$18,$AL15,$Y$13:$Y$18)+SUMIF($AB$13:$AB$18,$AL15,$AC$13:$AC$18)</f>
        <v>0</v>
      </c>
      <c r="AN15" s="76">
        <f>SUMIF($X$13:$X$18,$AL15,$Z$13:$Z$18)+SUMIF($AB$13:$AB$18,AL15,$AD$13:$AD$18)</f>
        <v>0</v>
      </c>
      <c r="AO15" s="76">
        <f>SUMIF($X$13:$X$18,$AL15,$AA$13:$AA$18)+SUMIF($AB$13:$AB$18,$AL15,$AE$13:$AE$18)</f>
        <v>0</v>
      </c>
      <c r="AP15" s="76">
        <f>AN15-AO15</f>
        <v>0</v>
      </c>
      <c r="AR15" s="76">
        <v>3</v>
      </c>
      <c r="AS15" s="76" t="str">
        <f>VLOOKUP($AR15,$AG$13:$AP$16,6,FALSE)</f>
        <v>Marocko</v>
      </c>
      <c r="AT15" s="76">
        <f>VLOOKUP($AS15,$AL$13:$AP$16,2,FALSE)</f>
        <v>0</v>
      </c>
      <c r="AU15" s="76">
        <f>VLOOKUP($AS15,$AL$13:$AP$16,3,FALSE)</f>
        <v>0</v>
      </c>
      <c r="AV15" s="76">
        <f>VLOOKUP($AS15,$AL$13:$AP$16,4,FALSE)</f>
        <v>0</v>
      </c>
      <c r="AW15" s="76">
        <f>VLOOKUP($AS15,$AL$13:$AP$16,5,FALSE)</f>
        <v>0</v>
      </c>
      <c r="AX15" s="97">
        <v>19</v>
      </c>
      <c r="AY15" s="108">
        <v>41808.666666666664</v>
      </c>
      <c r="AZ15" s="99" t="s">
        <v>27</v>
      </c>
      <c r="BA15" s="100" t="s">
        <v>6</v>
      </c>
      <c r="BB15" s="101" t="s">
        <v>30</v>
      </c>
      <c r="BC15" s="171" t="e">
        <f>IF(G15=#REF!,2,0)</f>
        <v>#REF!</v>
      </c>
      <c r="BD15" s="65" t="s">
        <v>6</v>
      </c>
      <c r="BE15" s="171" t="e">
        <f>IF(I15=#REF!,2,0)</f>
        <v>#REF!</v>
      </c>
      <c r="BF15" s="102" t="e">
        <f>IF(J15=#REF!,2,0)</f>
        <v>#REF!</v>
      </c>
      <c r="BG15" s="103" t="e">
        <f t="shared" si="28"/>
        <v>#REF!</v>
      </c>
      <c r="BI15" s="45"/>
      <c r="BJ15" s="49"/>
      <c r="BK15" s="49"/>
      <c r="BL15" s="49"/>
      <c r="BM15" s="49"/>
      <c r="BO15" s="94">
        <v>12</v>
      </c>
      <c r="BP15" s="16"/>
      <c r="BQ15" s="179"/>
      <c r="BR15" s="184"/>
    </row>
    <row r="16" spans="2:70" ht="14.25" customHeight="1" x14ac:dyDescent="0.25">
      <c r="B16" s="16">
        <v>20</v>
      </c>
      <c r="C16" s="107">
        <v>43271</v>
      </c>
      <c r="D16" s="91" t="s">
        <v>69</v>
      </c>
      <c r="E16" s="92" t="s">
        <v>6</v>
      </c>
      <c r="F16" s="93" t="s">
        <v>27</v>
      </c>
      <c r="G16" s="63"/>
      <c r="H16" s="94" t="s">
        <v>6</v>
      </c>
      <c r="I16" s="63"/>
      <c r="J16" s="65" t="str">
        <f t="shared" si="29"/>
        <v/>
      </c>
      <c r="K16" s="2">
        <v>4</v>
      </c>
      <c r="L16" s="21" t="str">
        <f>VLOOKUP(K16,$AR$13:$AW$16,2,FALSE)</f>
        <v>Iran</v>
      </c>
      <c r="M16" s="18">
        <f>VLOOKUP(L16,$AS$13:$AW$16,2,FALSE)</f>
        <v>0</v>
      </c>
      <c r="N16" s="18">
        <f>VLOOKUP(L16,$AS$13:$AW$16,3,FALSE)</f>
        <v>0</v>
      </c>
      <c r="O16" s="18">
        <f>VLOOKUP(L16,$AS$13:$AW$16,4,FALSE)</f>
        <v>0</v>
      </c>
      <c r="P16" s="19">
        <f>VLOOKUP(L16,$AS$13:$AW$16,5,FALSE)</f>
        <v>0</v>
      </c>
      <c r="R16" s="22"/>
      <c r="S16" s="49"/>
      <c r="T16" s="49"/>
      <c r="U16" s="49"/>
      <c r="V16" s="5"/>
      <c r="X16" s="95" t="str">
        <f t="shared" si="30"/>
        <v>Iran</v>
      </c>
      <c r="Y16" s="96">
        <f t="shared" si="22"/>
        <v>0</v>
      </c>
      <c r="Z16" s="96">
        <f t="shared" si="23"/>
        <v>0</v>
      </c>
      <c r="AA16" s="96">
        <f t="shared" si="24"/>
        <v>0</v>
      </c>
      <c r="AB16" s="95" t="str">
        <f t="shared" si="31"/>
        <v>Spanien</v>
      </c>
      <c r="AC16" s="96">
        <f t="shared" si="25"/>
        <v>0</v>
      </c>
      <c r="AD16" s="77">
        <f t="shared" si="26"/>
        <v>0</v>
      </c>
      <c r="AE16" s="77">
        <f t="shared" si="27"/>
        <v>0</v>
      </c>
      <c r="AG16" s="76">
        <f>RANK($AH16,$AH$13:$AH$16,1)+COUNTIF($AH$13:$AH16,$AH16)-1</f>
        <v>4</v>
      </c>
      <c r="AH16" s="76">
        <f>AI16+AJ16+AK16</f>
        <v>1</v>
      </c>
      <c r="AI16" s="76">
        <f>SUMPRODUCT(($AM$13:$AM$16=AM16)*($AP$13:$AP$16=AP16)*($AN$13:$AN$16&gt;AN16))</f>
        <v>0</v>
      </c>
      <c r="AJ16" s="76">
        <f>SUMPRODUCT(($AM$13:$AM$16=AM16)*($AP$13:$AP$16&gt;AP16))</f>
        <v>0</v>
      </c>
      <c r="AK16" s="76">
        <f>RANK(AM16,$AM$13:$AM$16)</f>
        <v>1</v>
      </c>
      <c r="AL16" s="95" t="s">
        <v>69</v>
      </c>
      <c r="AM16" s="76">
        <f>SUMIF($X$13:$X$18,$AL16,$Y$13:$Y$18)+SUMIF($AB$13:$AB$18,$AL16,$AC$13:$AC$18)</f>
        <v>0</v>
      </c>
      <c r="AN16" s="76">
        <f>SUMIF($X$13:$X$18,$AL16,$Z$13:$Z$18)+SUMIF($AB$13:$AB$18,AL16,$AD$13:$AD$18)</f>
        <v>0</v>
      </c>
      <c r="AO16" s="76">
        <f>SUMIF($X$13:$X$18,$AL16,$AA$13:$AA$18)+SUMIF($AB$13:$AB$18,$AL16,$AE$13:$AE$18)</f>
        <v>0</v>
      </c>
      <c r="AP16" s="76">
        <f>AN16-AO16</f>
        <v>0</v>
      </c>
      <c r="AR16" s="76">
        <v>4</v>
      </c>
      <c r="AS16" s="76" t="str">
        <f>VLOOKUP($AR16,$AG$13:$AP$16,6,FALSE)</f>
        <v>Iran</v>
      </c>
      <c r="AT16" s="76">
        <f>VLOOKUP($AS16,$AL$13:$AP$16,2,FALSE)</f>
        <v>0</v>
      </c>
      <c r="AU16" s="76">
        <f>VLOOKUP($AS16,$AL$13:$AP$16,3,FALSE)</f>
        <v>0</v>
      </c>
      <c r="AV16" s="76">
        <f>VLOOKUP($AS16,$AL$13:$AP$16,4,FALSE)</f>
        <v>0</v>
      </c>
      <c r="AW16" s="76">
        <f>VLOOKUP($AS16,$AL$13:$AP$16,5,FALSE)</f>
        <v>0</v>
      </c>
      <c r="AX16" s="97">
        <v>20</v>
      </c>
      <c r="AY16" s="108">
        <v>41808.541666666664</v>
      </c>
      <c r="AZ16" s="99" t="s">
        <v>31</v>
      </c>
      <c r="BA16" s="100" t="s">
        <v>6</v>
      </c>
      <c r="BB16" s="101" t="s">
        <v>28</v>
      </c>
      <c r="BC16" s="171" t="e">
        <f>IF(G16=#REF!,2,0)</f>
        <v>#REF!</v>
      </c>
      <c r="BD16" s="65" t="s">
        <v>6</v>
      </c>
      <c r="BE16" s="171" t="e">
        <f>IF(I16=#REF!,2,0)</f>
        <v>#REF!</v>
      </c>
      <c r="BF16" s="102" t="e">
        <f>IF(J16=#REF!,2,0)</f>
        <v>#REF!</v>
      </c>
      <c r="BG16" s="103" t="e">
        <f t="shared" si="28"/>
        <v>#REF!</v>
      </c>
      <c r="BI16" s="45"/>
      <c r="BJ16" s="49"/>
      <c r="BK16" s="49"/>
      <c r="BL16" s="49"/>
      <c r="BM16" s="49"/>
      <c r="BO16" s="94">
        <v>13</v>
      </c>
      <c r="BP16" s="16"/>
      <c r="BQ16" s="179"/>
      <c r="BR16" s="184"/>
    </row>
    <row r="17" spans="2:70" ht="14.25" customHeight="1" x14ac:dyDescent="0.25">
      <c r="B17" s="16">
        <v>35</v>
      </c>
      <c r="C17" s="107">
        <v>43276</v>
      </c>
      <c r="D17" s="91" t="s">
        <v>69</v>
      </c>
      <c r="E17" s="92" t="s">
        <v>6</v>
      </c>
      <c r="F17" s="93" t="s">
        <v>73</v>
      </c>
      <c r="G17" s="63"/>
      <c r="H17" s="94" t="s">
        <v>6</v>
      </c>
      <c r="I17" s="63"/>
      <c r="J17" s="65" t="str">
        <f t="shared" si="29"/>
        <v/>
      </c>
      <c r="M17" s="23"/>
      <c r="N17" s="23"/>
      <c r="O17" s="23"/>
      <c r="P17" s="23"/>
      <c r="R17" s="22"/>
      <c r="S17" s="49"/>
      <c r="T17" s="49"/>
      <c r="U17" s="49"/>
      <c r="V17" s="5"/>
      <c r="X17" s="95" t="str">
        <f t="shared" si="30"/>
        <v>Iran</v>
      </c>
      <c r="Y17" s="96">
        <f t="shared" si="22"/>
        <v>0</v>
      </c>
      <c r="Z17" s="96">
        <f t="shared" si="23"/>
        <v>0</v>
      </c>
      <c r="AA17" s="96">
        <f t="shared" si="24"/>
        <v>0</v>
      </c>
      <c r="AB17" s="95" t="str">
        <f t="shared" si="31"/>
        <v>Portugal</v>
      </c>
      <c r="AC17" s="96">
        <f t="shared" si="25"/>
        <v>0</v>
      </c>
      <c r="AD17" s="77">
        <f t="shared" si="26"/>
        <v>0</v>
      </c>
      <c r="AE17" s="77">
        <f t="shared" si="27"/>
        <v>0</v>
      </c>
      <c r="AX17" s="97">
        <v>35</v>
      </c>
      <c r="AY17" s="108">
        <v>41813.541666666664</v>
      </c>
      <c r="AZ17" s="99" t="s">
        <v>31</v>
      </c>
      <c r="BA17" s="100" t="s">
        <v>6</v>
      </c>
      <c r="BB17" s="101" t="s">
        <v>27</v>
      </c>
      <c r="BC17" s="171" t="e">
        <f>IF(G17=#REF!,2,0)</f>
        <v>#REF!</v>
      </c>
      <c r="BD17" s="65" t="s">
        <v>6</v>
      </c>
      <c r="BE17" s="171" t="e">
        <f>IF(I17=#REF!,2,0)</f>
        <v>#REF!</v>
      </c>
      <c r="BF17" s="102" t="e">
        <f>IF(J17=#REF!,2,0)</f>
        <v>#REF!</v>
      </c>
      <c r="BG17" s="103" t="e">
        <f t="shared" si="28"/>
        <v>#REF!</v>
      </c>
      <c r="BJ17" s="49"/>
      <c r="BK17" s="49"/>
      <c r="BL17" s="49"/>
      <c r="BM17" s="49"/>
      <c r="BO17" s="94">
        <v>14</v>
      </c>
      <c r="BP17" s="16"/>
      <c r="BQ17" s="179"/>
      <c r="BR17" s="184"/>
    </row>
    <row r="18" spans="2:70" ht="14.25" customHeight="1" x14ac:dyDescent="0.25">
      <c r="B18" s="16">
        <v>36</v>
      </c>
      <c r="C18" s="107">
        <v>43276</v>
      </c>
      <c r="D18" s="91" t="s">
        <v>27</v>
      </c>
      <c r="E18" s="92" t="s">
        <v>6</v>
      </c>
      <c r="F18" s="93" t="s">
        <v>166</v>
      </c>
      <c r="G18" s="63"/>
      <c r="H18" s="94" t="s">
        <v>6</v>
      </c>
      <c r="I18" s="63"/>
      <c r="J18" s="65" t="str">
        <f t="shared" si="29"/>
        <v/>
      </c>
      <c r="M18" s="23"/>
      <c r="N18" s="23"/>
      <c r="O18" s="23"/>
      <c r="P18" s="23"/>
      <c r="R18" s="22"/>
      <c r="S18" s="49"/>
      <c r="T18" s="49"/>
      <c r="U18" s="49"/>
      <c r="V18" s="5"/>
      <c r="X18" s="95" t="str">
        <f t="shared" si="30"/>
        <v>Spanien</v>
      </c>
      <c r="Y18" s="96">
        <f t="shared" si="22"/>
        <v>0</v>
      </c>
      <c r="Z18" s="96">
        <f t="shared" si="23"/>
        <v>0</v>
      </c>
      <c r="AA18" s="96">
        <f t="shared" si="24"/>
        <v>0</v>
      </c>
      <c r="AB18" s="95" t="str">
        <f t="shared" si="31"/>
        <v>Marocko</v>
      </c>
      <c r="AC18" s="96">
        <f t="shared" si="25"/>
        <v>0</v>
      </c>
      <c r="AD18" s="77">
        <f t="shared" si="26"/>
        <v>0</v>
      </c>
      <c r="AE18" s="77">
        <f t="shared" si="27"/>
        <v>0</v>
      </c>
      <c r="AH18" s="134"/>
      <c r="AX18" s="97">
        <v>36</v>
      </c>
      <c r="AY18" s="108">
        <v>41813.541666666664</v>
      </c>
      <c r="AZ18" s="99" t="s">
        <v>28</v>
      </c>
      <c r="BA18" s="100" t="s">
        <v>6</v>
      </c>
      <c r="BB18" s="101" t="s">
        <v>30</v>
      </c>
      <c r="BC18" s="171" t="e">
        <f>IF(G18=#REF!,2,0)</f>
        <v>#REF!</v>
      </c>
      <c r="BD18" s="65" t="s">
        <v>6</v>
      </c>
      <c r="BE18" s="171" t="e">
        <f>IF(I18=#REF!,2,0)</f>
        <v>#REF!</v>
      </c>
      <c r="BF18" s="102" t="e">
        <f>IF(J18=#REF!,2,0)</f>
        <v>#REF!</v>
      </c>
      <c r="BG18" s="103" t="e">
        <f t="shared" si="28"/>
        <v>#REF!</v>
      </c>
      <c r="BJ18" s="49"/>
      <c r="BK18" s="49"/>
      <c r="BL18" s="49"/>
      <c r="BM18" s="49"/>
      <c r="BO18" s="94">
        <v>15</v>
      </c>
      <c r="BP18" s="16"/>
      <c r="BQ18" s="179"/>
      <c r="BR18" s="184"/>
    </row>
    <row r="19" spans="2:70" ht="14.25" customHeight="1" x14ac:dyDescent="0.25">
      <c r="C19" s="38"/>
      <c r="E19" s="135"/>
      <c r="I19" s="133"/>
      <c r="J19" s="24"/>
      <c r="M19" s="23"/>
      <c r="N19" s="23"/>
      <c r="O19" s="23"/>
      <c r="P19" s="23"/>
      <c r="R19" s="6"/>
      <c r="S19" s="49"/>
      <c r="T19" s="175"/>
      <c r="U19" s="49"/>
      <c r="V19" s="26"/>
      <c r="AY19" s="41"/>
      <c r="BG19" s="119"/>
      <c r="BJ19" s="49"/>
      <c r="BK19" s="49"/>
      <c r="BL19" s="49"/>
      <c r="BM19" s="49"/>
      <c r="BO19" s="94">
        <v>16</v>
      </c>
      <c r="BP19" s="16"/>
      <c r="BQ19" s="179"/>
      <c r="BR19" s="184"/>
    </row>
    <row r="20" spans="2:70" s="26" customFormat="1" ht="12.75" customHeight="1" x14ac:dyDescent="0.25">
      <c r="B20" s="6" t="s">
        <v>40</v>
      </c>
      <c r="C20" s="120"/>
      <c r="D20" s="135"/>
      <c r="E20" s="27"/>
      <c r="F20" s="135"/>
      <c r="G20" s="27"/>
      <c r="H20" s="27"/>
      <c r="I20" s="135"/>
      <c r="J20" s="135"/>
      <c r="K20" s="25"/>
      <c r="M20" s="27"/>
      <c r="N20" s="27"/>
      <c r="O20" s="27"/>
      <c r="P20" s="27"/>
      <c r="R20" s="176"/>
      <c r="S20" s="24"/>
      <c r="T20" s="24"/>
      <c r="U20" s="177"/>
      <c r="X20" s="74"/>
      <c r="Y20" s="96"/>
      <c r="Z20" s="96"/>
      <c r="AA20" s="96"/>
      <c r="AB20" s="74"/>
      <c r="AC20" s="123"/>
      <c r="AD20" s="124"/>
      <c r="AE20" s="124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78" t="s">
        <v>40</v>
      </c>
      <c r="AY20" s="125"/>
      <c r="AZ20" s="79"/>
      <c r="BA20" s="80"/>
      <c r="BB20" s="79"/>
      <c r="BC20" s="80"/>
      <c r="BD20" s="80"/>
      <c r="BE20" s="80"/>
      <c r="BF20" s="80"/>
      <c r="BG20" s="24"/>
      <c r="BH20" s="127"/>
      <c r="BI20" s="1"/>
      <c r="BJ20" s="24"/>
      <c r="BK20" s="24"/>
      <c r="BL20" s="24"/>
      <c r="BM20" s="24"/>
      <c r="BO20" s="94">
        <v>17</v>
      </c>
      <c r="BP20" s="16"/>
      <c r="BQ20" s="179"/>
      <c r="BR20" s="184"/>
    </row>
    <row r="21" spans="2:70" s="26" customFormat="1" ht="14.25" customHeight="1" x14ac:dyDescent="0.25">
      <c r="B21" s="137" t="s">
        <v>2</v>
      </c>
      <c r="C21" s="129" t="s">
        <v>3</v>
      </c>
      <c r="D21" s="187" t="s">
        <v>2</v>
      </c>
      <c r="E21" s="188"/>
      <c r="F21" s="189"/>
      <c r="G21" s="188" t="s">
        <v>4</v>
      </c>
      <c r="H21" s="188"/>
      <c r="I21" s="188"/>
      <c r="J21" s="28" t="s">
        <v>81</v>
      </c>
      <c r="K21" s="25"/>
      <c r="L21" s="8" t="s">
        <v>40</v>
      </c>
      <c r="M21" s="9" t="s">
        <v>89</v>
      </c>
      <c r="N21" s="9" t="s">
        <v>90</v>
      </c>
      <c r="O21" s="9" t="s">
        <v>91</v>
      </c>
      <c r="P21" s="10" t="s">
        <v>101</v>
      </c>
      <c r="V21" s="138"/>
      <c r="X21" s="85" t="s">
        <v>87</v>
      </c>
      <c r="Y21" s="85" t="s">
        <v>89</v>
      </c>
      <c r="Z21" s="85" t="s">
        <v>90</v>
      </c>
      <c r="AA21" s="85" t="s">
        <v>91</v>
      </c>
      <c r="AB21" s="85" t="s">
        <v>88</v>
      </c>
      <c r="AC21" s="85" t="s">
        <v>89</v>
      </c>
      <c r="AD21" s="85" t="s">
        <v>90</v>
      </c>
      <c r="AE21" s="85" t="s">
        <v>91</v>
      </c>
      <c r="AF21" s="123"/>
      <c r="AG21" s="86" t="s">
        <v>99</v>
      </c>
      <c r="AH21" s="86" t="s">
        <v>98</v>
      </c>
      <c r="AI21" s="86" t="s">
        <v>97</v>
      </c>
      <c r="AJ21" s="85" t="s">
        <v>96</v>
      </c>
      <c r="AK21" s="85" t="s">
        <v>95</v>
      </c>
      <c r="AL21" s="85" t="s">
        <v>92</v>
      </c>
      <c r="AM21" s="85" t="s">
        <v>89</v>
      </c>
      <c r="AN21" s="85" t="s">
        <v>90</v>
      </c>
      <c r="AO21" s="85" t="s">
        <v>91</v>
      </c>
      <c r="AP21" s="86" t="s">
        <v>93</v>
      </c>
      <c r="AQ21" s="123"/>
      <c r="AR21" s="85" t="s">
        <v>94</v>
      </c>
      <c r="AS21" s="85" t="s">
        <v>92</v>
      </c>
      <c r="AT21" s="85" t="s">
        <v>89</v>
      </c>
      <c r="AU21" s="85" t="s">
        <v>90</v>
      </c>
      <c r="AV21" s="85" t="s">
        <v>91</v>
      </c>
      <c r="AW21" s="86" t="s">
        <v>93</v>
      </c>
      <c r="AX21" s="139" t="s">
        <v>2</v>
      </c>
      <c r="AY21" s="131" t="s">
        <v>3</v>
      </c>
      <c r="AZ21" s="190" t="s">
        <v>2</v>
      </c>
      <c r="BA21" s="191"/>
      <c r="BB21" s="192"/>
      <c r="BC21" s="191" t="s">
        <v>4</v>
      </c>
      <c r="BD21" s="191"/>
      <c r="BE21" s="191"/>
      <c r="BF21" s="69" t="s">
        <v>81</v>
      </c>
      <c r="BG21" s="28" t="s">
        <v>89</v>
      </c>
      <c r="BH21" s="127"/>
      <c r="BI21" s="132"/>
      <c r="BJ21" s="24"/>
      <c r="BK21" s="24"/>
      <c r="BL21" s="24"/>
      <c r="BM21" s="24"/>
      <c r="BO21" s="94">
        <v>18</v>
      </c>
      <c r="BP21" s="16"/>
      <c r="BQ21" s="179"/>
      <c r="BR21" s="184"/>
    </row>
    <row r="22" spans="2:70" ht="14.25" customHeight="1" x14ac:dyDescent="0.25">
      <c r="B22" s="16">
        <v>5</v>
      </c>
      <c r="C22" s="107">
        <v>43267</v>
      </c>
      <c r="D22" s="91" t="s">
        <v>64</v>
      </c>
      <c r="E22" s="92" t="s">
        <v>6</v>
      </c>
      <c r="F22" s="93" t="s">
        <v>31</v>
      </c>
      <c r="G22" s="63"/>
      <c r="H22" s="94" t="s">
        <v>6</v>
      </c>
      <c r="I22" s="63"/>
      <c r="J22" s="65" t="str">
        <f>IF(OR(ISBLANK(G22),ISBLANK(I22)),"",IF(G22&gt;I22,1,IF(G22&lt;I22,2,"X")))</f>
        <v/>
      </c>
      <c r="K22" s="12">
        <v>1</v>
      </c>
      <c r="L22" s="13" t="str">
        <f>VLOOKUP(K22,$AR$22:$AW$25,2,FALSE)</f>
        <v>Frankrike</v>
      </c>
      <c r="M22" s="14">
        <f>VLOOKUP(L22,$AS$22:$AW$25,2,FALSE)</f>
        <v>0</v>
      </c>
      <c r="N22" s="14">
        <f>VLOOKUP(L22,$AS$22:$AW$25,3,FALSE)</f>
        <v>0</v>
      </c>
      <c r="O22" s="14">
        <f>VLOOKUP(L22,$AS$22:$AW$25,4,FALSE)</f>
        <v>0</v>
      </c>
      <c r="P22" s="15">
        <f>VLOOKUP(L22,$AS$22:$AW$25,5,FALSE)</f>
        <v>0</v>
      </c>
      <c r="R22" s="5"/>
      <c r="S22" s="5"/>
      <c r="T22" s="5"/>
      <c r="U22" s="5"/>
      <c r="V22" s="5"/>
      <c r="X22" s="95" t="str">
        <f>D22</f>
        <v>Frankrike</v>
      </c>
      <c r="Y22" s="96">
        <f t="shared" ref="Y22:Y27" si="32">IF(G22="",0,IF($G22&lt;$I22,0,IF($G22=$I22,1,3)))</f>
        <v>0</v>
      </c>
      <c r="Z22" s="96">
        <f t="shared" ref="Z22:Z27" si="33">G22</f>
        <v>0</v>
      </c>
      <c r="AA22" s="96">
        <f t="shared" ref="AA22:AA27" si="34">I22</f>
        <v>0</v>
      </c>
      <c r="AB22" s="95" t="str">
        <f>F22</f>
        <v>Australien</v>
      </c>
      <c r="AC22" s="96">
        <f t="shared" ref="AC22:AC27" si="35">IF(I22="",0,IF(I22&lt;G22,0,IF(I22=G22,1,3)))</f>
        <v>0</v>
      </c>
      <c r="AD22" s="77">
        <f t="shared" ref="AD22:AD27" si="36">I22</f>
        <v>0</v>
      </c>
      <c r="AE22" s="77">
        <f t="shared" ref="AE22:AE27" si="37">G22</f>
        <v>0</v>
      </c>
      <c r="AG22" s="76">
        <f>RANK($AH22,$AH$22:$AH$25,1)+COUNTIF($AH$22:$AH22,$AH22)-1</f>
        <v>1</v>
      </c>
      <c r="AH22" s="76">
        <f>AI22+AJ22+AK22</f>
        <v>1</v>
      </c>
      <c r="AI22" s="76">
        <f>SUMPRODUCT(($AM$22:$AM$25=AM22)*($AP$22:$AP$25=AP22)*($AN$22:$AN$25&gt;AN22))</f>
        <v>0</v>
      </c>
      <c r="AJ22" s="76">
        <f>SUMPRODUCT(($AM$22:$AM$25=AM22)*($AP$22:$AP$25&gt;AP22))</f>
        <v>0</v>
      </c>
      <c r="AK22" s="76">
        <f>RANK(AM22,$AM$22:$AM$25)</f>
        <v>1</v>
      </c>
      <c r="AL22" s="95" t="s">
        <v>64</v>
      </c>
      <c r="AM22" s="76">
        <f>SUMIF($X$22:$X$27,$AL22,$Y$22:$Y$27)+SUMIF($AB$22:$AB$27,$AL22,$AC$22:$AC$27)</f>
        <v>0</v>
      </c>
      <c r="AN22" s="76">
        <f>SUMIF($X$22:$X$27,$AL22,$Z$22:$Z$27)+SUMIF($AB$22:$AB$27,$AL22,$AD$22:$AD$27)</f>
        <v>0</v>
      </c>
      <c r="AO22" s="76">
        <f>SUMIF($X$22:$X$27,$AL22,$AA$22:$AA$27)+SUMIF($AB$22:$AB$27,$AL22,$AE$22:$AE$27)</f>
        <v>0</v>
      </c>
      <c r="AP22" s="76">
        <f>AN22-AO22</f>
        <v>0</v>
      </c>
      <c r="AR22" s="76">
        <v>1</v>
      </c>
      <c r="AS22" s="76" t="str">
        <f>VLOOKUP($AR22,$AG$22:$AP$25,6,FALSE)</f>
        <v>Frankrike</v>
      </c>
      <c r="AT22" s="76">
        <f>VLOOKUP($AS22,$AL$22:$AP$25,2,FALSE)</f>
        <v>0</v>
      </c>
      <c r="AU22" s="76">
        <f>VLOOKUP($AS22,$AL$22:$AP$25,3,FALSE)</f>
        <v>0</v>
      </c>
      <c r="AV22" s="76">
        <f>VLOOKUP($AS22,$AL$22:$AP$25,4,FALSE)</f>
        <v>0</v>
      </c>
      <c r="AW22" s="76">
        <f>VLOOKUP($AS22,$AL$22:$AP$25,5,FALSE)</f>
        <v>0</v>
      </c>
      <c r="AX22" s="97">
        <v>5</v>
      </c>
      <c r="AY22" s="108">
        <v>41804.541666666664</v>
      </c>
      <c r="AZ22" s="99" t="s">
        <v>42</v>
      </c>
      <c r="BA22" s="100" t="s">
        <v>6</v>
      </c>
      <c r="BB22" s="101" t="s">
        <v>43</v>
      </c>
      <c r="BC22" s="171" t="e">
        <f>IF(G22=#REF!,2,0)</f>
        <v>#REF!</v>
      </c>
      <c r="BD22" s="65" t="s">
        <v>6</v>
      </c>
      <c r="BE22" s="171" t="e">
        <f>IF(I22=#REF!,2,0)</f>
        <v>#REF!</v>
      </c>
      <c r="BF22" s="102" t="e">
        <f>IF(J22=#REF!,2,0)</f>
        <v>#REF!</v>
      </c>
      <c r="BG22" s="103" t="e">
        <f t="shared" ref="BG22:BG27" si="38">SUM(BC22+BE22+BF22)</f>
        <v>#REF!</v>
      </c>
      <c r="BH22" s="104"/>
      <c r="BI22" s="78"/>
      <c r="BJ22" s="49"/>
      <c r="BK22" s="49"/>
      <c r="BL22" s="49"/>
      <c r="BM22" s="49"/>
      <c r="BO22" s="94">
        <v>19</v>
      </c>
      <c r="BP22" s="16"/>
      <c r="BQ22" s="179"/>
      <c r="BR22" s="184"/>
    </row>
    <row r="23" spans="2:70" ht="14.25" customHeight="1" x14ac:dyDescent="0.25">
      <c r="B23" s="16">
        <v>6</v>
      </c>
      <c r="C23" s="107">
        <v>43267</v>
      </c>
      <c r="D23" s="91" t="s">
        <v>167</v>
      </c>
      <c r="E23" s="92" t="s">
        <v>6</v>
      </c>
      <c r="F23" s="93" t="s">
        <v>168</v>
      </c>
      <c r="G23" s="63"/>
      <c r="H23" s="94" t="s">
        <v>6</v>
      </c>
      <c r="I23" s="63"/>
      <c r="J23" s="65" t="str">
        <f t="shared" ref="J23:J27" si="39">IF(OR(ISBLANK(G23),ISBLANK(I23)),"",IF(G23&gt;I23,1,IF(G23&lt;I23,2,"X")))</f>
        <v/>
      </c>
      <c r="K23" s="2">
        <v>2</v>
      </c>
      <c r="L23" s="17" t="str">
        <f>VLOOKUP(K23,$AR$22:$AW$25,2,FALSE)</f>
        <v>Australien</v>
      </c>
      <c r="M23" s="18">
        <f>VLOOKUP(L23,$AS$22:$AW$25,2,FALSE)</f>
        <v>0</v>
      </c>
      <c r="N23" s="18">
        <f>VLOOKUP(L23,$AS$22:$AW$25,3,FALSE)</f>
        <v>0</v>
      </c>
      <c r="O23" s="18">
        <f>VLOOKUP(L23,$AS$22:$AW$25,4,FALSE)</f>
        <v>0</v>
      </c>
      <c r="P23" s="19">
        <f>VLOOKUP(L23,$AS$22:$AW$25,5,FALSE)</f>
        <v>0</v>
      </c>
      <c r="R23" s="5"/>
      <c r="S23" s="5"/>
      <c r="T23" s="5"/>
      <c r="U23" s="5"/>
      <c r="V23" s="5"/>
      <c r="X23" s="95" t="str">
        <f t="shared" ref="X23:X27" si="40">D23</f>
        <v>Peru</v>
      </c>
      <c r="Y23" s="96">
        <f t="shared" si="32"/>
        <v>0</v>
      </c>
      <c r="Z23" s="96">
        <f t="shared" si="33"/>
        <v>0</v>
      </c>
      <c r="AA23" s="96">
        <f t="shared" si="34"/>
        <v>0</v>
      </c>
      <c r="AB23" s="95" t="str">
        <f t="shared" ref="AB23:AB27" si="41">F23</f>
        <v>Danmark</v>
      </c>
      <c r="AC23" s="96">
        <f t="shared" si="35"/>
        <v>0</v>
      </c>
      <c r="AD23" s="77">
        <f t="shared" si="36"/>
        <v>0</v>
      </c>
      <c r="AE23" s="77">
        <f t="shared" si="37"/>
        <v>0</v>
      </c>
      <c r="AG23" s="76">
        <f>RANK($AH23,$AH$22:$AH$25,1)+COUNTIF($AH$22:$AH23,$AH23)-1</f>
        <v>2</v>
      </c>
      <c r="AH23" s="76">
        <f>AI23+AJ23+AK23</f>
        <v>1</v>
      </c>
      <c r="AI23" s="76">
        <f t="shared" ref="AI23:AI25" si="42">SUMPRODUCT(($AM$22:$AM$25=AM23)*($AP$22:$AP$25=AP23)*($AN$22:$AN$25&gt;AN23))</f>
        <v>0</v>
      </c>
      <c r="AJ23" s="76">
        <f t="shared" ref="AJ23:AJ25" si="43">SUMPRODUCT(($AM$22:$AM$25=AM23)*($AP$22:$AP$25&gt;AP23))</f>
        <v>0</v>
      </c>
      <c r="AK23" s="76">
        <f t="shared" ref="AK23:AK25" si="44">RANK(AM23,$AM$22:$AM$25)</f>
        <v>1</v>
      </c>
      <c r="AL23" s="77" t="s">
        <v>31</v>
      </c>
      <c r="AM23" s="76">
        <f t="shared" ref="AM23:AM25" si="45">SUMIF($X$22:$X$27,$AL23,$Y$22:$Y$27)+SUMIF($AB$22:$AB$27,$AL23,$AC$22:$AC$27)</f>
        <v>0</v>
      </c>
      <c r="AN23" s="76">
        <f t="shared" ref="AN23:AN25" si="46">SUMIF($X$22:$X$27,$AL23,$Z$22:$Z$27)+SUMIF($AB$22:$AB$27,$AL23,$AD$22:$AD$27)</f>
        <v>0</v>
      </c>
      <c r="AO23" s="76">
        <f t="shared" ref="AO23:AO25" si="47">SUMIF($X$22:$X$27,$AL23,$AA$22:$AA$27)+SUMIF($AB$22:$AB$27,$AL23,$AE$22:$AE$27)</f>
        <v>0</v>
      </c>
      <c r="AP23" s="76">
        <f t="shared" ref="AP23:AP25" si="48">AN23-AO23</f>
        <v>0</v>
      </c>
      <c r="AR23" s="76">
        <v>2</v>
      </c>
      <c r="AS23" s="76" t="str">
        <f t="shared" ref="AS23:AS25" si="49">VLOOKUP($AR23,$AG$22:$AP$25,6,FALSE)</f>
        <v>Australien</v>
      </c>
      <c r="AT23" s="76">
        <f t="shared" ref="AT23:AT25" si="50">VLOOKUP($AS23,$AL$22:$AP$25,2,FALSE)</f>
        <v>0</v>
      </c>
      <c r="AU23" s="76">
        <f t="shared" ref="AU23:AU25" si="51">VLOOKUP($AS23,$AL$22:$AP$25,3,FALSE)</f>
        <v>0</v>
      </c>
      <c r="AV23" s="76">
        <f t="shared" ref="AV23:AV25" si="52">VLOOKUP($AS23,$AL$22:$AP$25,4,FALSE)</f>
        <v>0</v>
      </c>
      <c r="AW23" s="76">
        <f t="shared" ref="AW23:AW25" si="53">VLOOKUP($AS23,$AL$22:$AP$25,5,FALSE)</f>
        <v>0</v>
      </c>
      <c r="AX23" s="97">
        <v>6</v>
      </c>
      <c r="AY23" s="108">
        <v>41805</v>
      </c>
      <c r="AZ23" s="140" t="s">
        <v>46</v>
      </c>
      <c r="BA23" s="100" t="s">
        <v>6</v>
      </c>
      <c r="BB23" s="101" t="s">
        <v>47</v>
      </c>
      <c r="BC23" s="171" t="e">
        <f>IF(G23=#REF!,2,0)</f>
        <v>#REF!</v>
      </c>
      <c r="BD23" s="65" t="s">
        <v>6</v>
      </c>
      <c r="BE23" s="171" t="e">
        <f>IF(I23=#REF!,2,0)</f>
        <v>#REF!</v>
      </c>
      <c r="BF23" s="102" t="e">
        <f>IF(J23=#REF!,2,0)</f>
        <v>#REF!</v>
      </c>
      <c r="BG23" s="103" t="e">
        <f t="shared" si="38"/>
        <v>#REF!</v>
      </c>
      <c r="BI23" s="78"/>
      <c r="BJ23" s="49"/>
      <c r="BK23" s="49"/>
      <c r="BL23" s="49"/>
      <c r="BM23" s="49"/>
      <c r="BO23" s="94">
        <v>20</v>
      </c>
      <c r="BP23" s="16"/>
      <c r="BQ23" s="179"/>
      <c r="BR23" s="184"/>
    </row>
    <row r="24" spans="2:70" ht="14.25" customHeight="1" x14ac:dyDescent="0.25">
      <c r="B24" s="16">
        <v>22</v>
      </c>
      <c r="C24" s="107">
        <v>43272</v>
      </c>
      <c r="D24" s="91" t="s">
        <v>168</v>
      </c>
      <c r="E24" s="92" t="s">
        <v>6</v>
      </c>
      <c r="F24" s="93" t="s">
        <v>31</v>
      </c>
      <c r="G24" s="63"/>
      <c r="H24" s="94" t="s">
        <v>6</v>
      </c>
      <c r="I24" s="63"/>
      <c r="J24" s="65" t="str">
        <f t="shared" si="39"/>
        <v/>
      </c>
      <c r="K24" s="2">
        <v>3</v>
      </c>
      <c r="L24" s="158" t="str">
        <f>VLOOKUP(K24,$AR$22:$AW$25,2,FALSE)</f>
        <v>Peru</v>
      </c>
      <c r="M24" s="32">
        <f>VLOOKUP(L24,$AS$22:$AW$25,2,FALSE)</f>
        <v>0</v>
      </c>
      <c r="N24" s="32">
        <f>VLOOKUP(L24,$AS$22:$AW$25,3,FALSE)</f>
        <v>0</v>
      </c>
      <c r="O24" s="32">
        <f>VLOOKUP(L24,$AS$22:$AW$25,4,FALSE)</f>
        <v>0</v>
      </c>
      <c r="P24" s="33">
        <f>VLOOKUP(L24,$AS$22:$AW$25,5,FALSE)</f>
        <v>0</v>
      </c>
      <c r="R24" s="5"/>
      <c r="S24" s="5"/>
      <c r="T24" s="5"/>
      <c r="U24" s="5"/>
      <c r="V24" s="5"/>
      <c r="X24" s="95" t="str">
        <f t="shared" si="40"/>
        <v>Danmark</v>
      </c>
      <c r="Y24" s="96">
        <f t="shared" si="32"/>
        <v>0</v>
      </c>
      <c r="Z24" s="96">
        <f t="shared" si="33"/>
        <v>0</v>
      </c>
      <c r="AA24" s="96">
        <f t="shared" si="34"/>
        <v>0</v>
      </c>
      <c r="AB24" s="95" t="str">
        <f t="shared" si="41"/>
        <v>Australien</v>
      </c>
      <c r="AC24" s="96">
        <f t="shared" si="35"/>
        <v>0</v>
      </c>
      <c r="AD24" s="77">
        <f t="shared" si="36"/>
        <v>0</v>
      </c>
      <c r="AE24" s="77">
        <f t="shared" si="37"/>
        <v>0</v>
      </c>
      <c r="AG24" s="76">
        <f>RANK($AH24,$AH$22:$AH$25,1)+COUNTIF($AH$22:$AH24,$AH24)-1</f>
        <v>3</v>
      </c>
      <c r="AH24" s="76">
        <f>AI24+AJ24+AK24</f>
        <v>1</v>
      </c>
      <c r="AI24" s="76">
        <f t="shared" si="42"/>
        <v>0</v>
      </c>
      <c r="AJ24" s="76">
        <f t="shared" si="43"/>
        <v>0</v>
      </c>
      <c r="AK24" s="76">
        <f t="shared" si="44"/>
        <v>1</v>
      </c>
      <c r="AL24" s="95" t="s">
        <v>167</v>
      </c>
      <c r="AM24" s="76">
        <f t="shared" si="45"/>
        <v>0</v>
      </c>
      <c r="AN24" s="76">
        <f t="shared" si="46"/>
        <v>0</v>
      </c>
      <c r="AO24" s="76">
        <f t="shared" si="47"/>
        <v>0</v>
      </c>
      <c r="AP24" s="76">
        <f t="shared" si="48"/>
        <v>0</v>
      </c>
      <c r="AR24" s="76">
        <v>3</v>
      </c>
      <c r="AS24" s="76" t="str">
        <f t="shared" si="49"/>
        <v>Peru</v>
      </c>
      <c r="AT24" s="76">
        <f t="shared" si="50"/>
        <v>0</v>
      </c>
      <c r="AU24" s="76">
        <f t="shared" si="51"/>
        <v>0</v>
      </c>
      <c r="AV24" s="76">
        <f t="shared" si="52"/>
        <v>0</v>
      </c>
      <c r="AW24" s="76">
        <f t="shared" si="53"/>
        <v>0</v>
      </c>
      <c r="AX24" s="97">
        <v>21</v>
      </c>
      <c r="AY24" s="108">
        <v>41809.541666666664</v>
      </c>
      <c r="AZ24" s="99" t="s">
        <v>42</v>
      </c>
      <c r="BA24" s="100" t="s">
        <v>6</v>
      </c>
      <c r="BB24" s="101" t="s">
        <v>46</v>
      </c>
      <c r="BC24" s="171" t="e">
        <f>IF(G24=#REF!,2,0)</f>
        <v>#REF!</v>
      </c>
      <c r="BD24" s="65" t="s">
        <v>6</v>
      </c>
      <c r="BE24" s="171" t="e">
        <f>IF(I24=#REF!,2,0)</f>
        <v>#REF!</v>
      </c>
      <c r="BF24" s="102" t="e">
        <f>IF(J24=#REF!,2,0)</f>
        <v>#REF!</v>
      </c>
      <c r="BG24" s="103" t="e">
        <f t="shared" si="38"/>
        <v>#REF!</v>
      </c>
      <c r="BI24" s="45"/>
      <c r="BJ24" s="49"/>
      <c r="BK24" s="49"/>
      <c r="BL24" s="49"/>
      <c r="BM24" s="49"/>
      <c r="BO24" s="94">
        <v>21</v>
      </c>
      <c r="BP24" s="16"/>
      <c r="BQ24" s="179"/>
      <c r="BR24" s="184"/>
    </row>
    <row r="25" spans="2:70" ht="14.25" customHeight="1" x14ac:dyDescent="0.25">
      <c r="B25" s="16">
        <v>21</v>
      </c>
      <c r="C25" s="107">
        <v>43272</v>
      </c>
      <c r="D25" s="91" t="s">
        <v>64</v>
      </c>
      <c r="E25" s="92" t="s">
        <v>6</v>
      </c>
      <c r="F25" s="93" t="s">
        <v>167</v>
      </c>
      <c r="G25" s="63"/>
      <c r="H25" s="94" t="s">
        <v>6</v>
      </c>
      <c r="I25" s="63"/>
      <c r="J25" s="65" t="str">
        <f t="shared" si="39"/>
        <v/>
      </c>
      <c r="K25" s="2">
        <v>4</v>
      </c>
      <c r="L25" s="21" t="str">
        <f>VLOOKUP(K25,$AR$22:$AW$25,2,FALSE)</f>
        <v>Danmark</v>
      </c>
      <c r="M25" s="18">
        <f>VLOOKUP(L25,$AS$22:$AW$25,2,FALSE)</f>
        <v>0</v>
      </c>
      <c r="N25" s="18">
        <f>VLOOKUP(L25,$AS$22:$AW$25,3,FALSE)</f>
        <v>0</v>
      </c>
      <c r="O25" s="18">
        <f>VLOOKUP(L25,$AS$22:$AW$25,4,FALSE)</f>
        <v>0</v>
      </c>
      <c r="P25" s="19">
        <f>VLOOKUP(L25,$AS$22:$AW$25,5,FALSE)</f>
        <v>0</v>
      </c>
      <c r="R25" s="5"/>
      <c r="S25" s="5"/>
      <c r="T25" s="5"/>
      <c r="U25" s="5"/>
      <c r="V25" s="5"/>
      <c r="X25" s="95" t="str">
        <f t="shared" si="40"/>
        <v>Frankrike</v>
      </c>
      <c r="Y25" s="96">
        <f t="shared" si="32"/>
        <v>0</v>
      </c>
      <c r="Z25" s="96">
        <f t="shared" si="33"/>
        <v>0</v>
      </c>
      <c r="AA25" s="96">
        <f t="shared" si="34"/>
        <v>0</v>
      </c>
      <c r="AB25" s="95" t="str">
        <f t="shared" si="41"/>
        <v>Peru</v>
      </c>
      <c r="AC25" s="96">
        <f t="shared" si="35"/>
        <v>0</v>
      </c>
      <c r="AD25" s="77">
        <f t="shared" si="36"/>
        <v>0</v>
      </c>
      <c r="AE25" s="77">
        <f t="shared" si="37"/>
        <v>0</v>
      </c>
      <c r="AG25" s="76">
        <f>RANK($AH25,$AH$22:$AH$25,1)+COUNTIF($AH$22:$AH25,$AH25)-1</f>
        <v>4</v>
      </c>
      <c r="AH25" s="76">
        <f>AI25+AJ25+AK25</f>
        <v>1</v>
      </c>
      <c r="AI25" s="76">
        <f t="shared" si="42"/>
        <v>0</v>
      </c>
      <c r="AJ25" s="76">
        <f t="shared" si="43"/>
        <v>0</v>
      </c>
      <c r="AK25" s="76">
        <f t="shared" si="44"/>
        <v>1</v>
      </c>
      <c r="AL25" s="95" t="s">
        <v>168</v>
      </c>
      <c r="AM25" s="76">
        <f t="shared" si="45"/>
        <v>0</v>
      </c>
      <c r="AN25" s="76">
        <f t="shared" si="46"/>
        <v>0</v>
      </c>
      <c r="AO25" s="76">
        <f t="shared" si="47"/>
        <v>0</v>
      </c>
      <c r="AP25" s="76">
        <f t="shared" si="48"/>
        <v>0</v>
      </c>
      <c r="AR25" s="76">
        <v>4</v>
      </c>
      <c r="AS25" s="76" t="str">
        <f t="shared" si="49"/>
        <v>Danmark</v>
      </c>
      <c r="AT25" s="76">
        <f t="shared" si="50"/>
        <v>0</v>
      </c>
      <c r="AU25" s="76">
        <f t="shared" si="51"/>
        <v>0</v>
      </c>
      <c r="AV25" s="76">
        <f t="shared" si="52"/>
        <v>0</v>
      </c>
      <c r="AW25" s="76">
        <f t="shared" si="53"/>
        <v>0</v>
      </c>
      <c r="AX25" s="97">
        <v>22</v>
      </c>
      <c r="AY25" s="108">
        <v>41809.791666666664</v>
      </c>
      <c r="AZ25" s="99" t="s">
        <v>47</v>
      </c>
      <c r="BA25" s="100" t="s">
        <v>6</v>
      </c>
      <c r="BB25" s="101" t="s">
        <v>43</v>
      </c>
      <c r="BC25" s="171" t="e">
        <f>IF(G25=#REF!,2,0)</f>
        <v>#REF!</v>
      </c>
      <c r="BD25" s="65" t="s">
        <v>6</v>
      </c>
      <c r="BE25" s="171" t="e">
        <f>IF(I25=#REF!,2,0)</f>
        <v>#REF!</v>
      </c>
      <c r="BF25" s="102" t="e">
        <f>IF(J25=#REF!,2,0)</f>
        <v>#REF!</v>
      </c>
      <c r="BG25" s="103" t="e">
        <f t="shared" si="38"/>
        <v>#REF!</v>
      </c>
      <c r="BI25" s="45"/>
      <c r="BJ25" s="49"/>
      <c r="BK25" s="49"/>
      <c r="BL25" s="49"/>
      <c r="BM25" s="49"/>
      <c r="BO25" s="94">
        <v>22</v>
      </c>
      <c r="BP25" s="16"/>
      <c r="BQ25" s="179"/>
      <c r="BR25" s="184"/>
    </row>
    <row r="26" spans="2:70" ht="14.25" customHeight="1" x14ac:dyDescent="0.25">
      <c r="B26" s="16">
        <v>37</v>
      </c>
      <c r="C26" s="107">
        <v>43277</v>
      </c>
      <c r="D26" s="91" t="s">
        <v>168</v>
      </c>
      <c r="E26" s="92" t="s">
        <v>6</v>
      </c>
      <c r="F26" s="93" t="s">
        <v>64</v>
      </c>
      <c r="G26" s="63"/>
      <c r="H26" s="94" t="s">
        <v>6</v>
      </c>
      <c r="I26" s="63"/>
      <c r="J26" s="65" t="str">
        <f t="shared" si="39"/>
        <v/>
      </c>
      <c r="M26" s="23"/>
      <c r="N26" s="23"/>
      <c r="O26" s="23"/>
      <c r="P26" s="23"/>
      <c r="R26" s="5"/>
      <c r="S26" s="5"/>
      <c r="T26" s="5"/>
      <c r="U26" s="5"/>
      <c r="V26" s="5"/>
      <c r="X26" s="95" t="str">
        <f t="shared" si="40"/>
        <v>Danmark</v>
      </c>
      <c r="Y26" s="96">
        <f t="shared" si="32"/>
        <v>0</v>
      </c>
      <c r="Z26" s="96">
        <f t="shared" si="33"/>
        <v>0</v>
      </c>
      <c r="AA26" s="96">
        <f t="shared" si="34"/>
        <v>0</v>
      </c>
      <c r="AB26" s="95" t="str">
        <f t="shared" si="41"/>
        <v>Frankrike</v>
      </c>
      <c r="AC26" s="96">
        <f t="shared" si="35"/>
        <v>0</v>
      </c>
      <c r="AD26" s="77">
        <f t="shared" si="36"/>
        <v>0</v>
      </c>
      <c r="AE26" s="77">
        <f t="shared" si="37"/>
        <v>0</v>
      </c>
      <c r="AX26" s="97">
        <v>37</v>
      </c>
      <c r="AY26" s="108">
        <v>41814.666666666664</v>
      </c>
      <c r="AZ26" s="99" t="s">
        <v>47</v>
      </c>
      <c r="BA26" s="100" t="s">
        <v>6</v>
      </c>
      <c r="BB26" s="101" t="s">
        <v>42</v>
      </c>
      <c r="BC26" s="171" t="e">
        <f>IF(G26=#REF!,2,0)</f>
        <v>#REF!</v>
      </c>
      <c r="BD26" s="65" t="s">
        <v>6</v>
      </c>
      <c r="BE26" s="171" t="e">
        <f>IF(I26=#REF!,2,0)</f>
        <v>#REF!</v>
      </c>
      <c r="BF26" s="102" t="e">
        <f>IF(J26=#REF!,2,0)</f>
        <v>#REF!</v>
      </c>
      <c r="BG26" s="103" t="e">
        <f t="shared" si="38"/>
        <v>#REF!</v>
      </c>
      <c r="BJ26" s="49"/>
      <c r="BK26" s="49"/>
      <c r="BL26" s="49"/>
      <c r="BM26" s="49"/>
      <c r="BO26" s="94">
        <v>23</v>
      </c>
      <c r="BP26" s="16"/>
      <c r="BQ26" s="179"/>
      <c r="BR26" s="184"/>
    </row>
    <row r="27" spans="2:70" ht="14.25" customHeight="1" x14ac:dyDescent="0.25">
      <c r="B27" s="16">
        <v>38</v>
      </c>
      <c r="C27" s="107">
        <v>43277</v>
      </c>
      <c r="D27" s="91" t="s">
        <v>31</v>
      </c>
      <c r="E27" s="92" t="s">
        <v>6</v>
      </c>
      <c r="F27" s="93" t="s">
        <v>167</v>
      </c>
      <c r="G27" s="63"/>
      <c r="H27" s="94" t="s">
        <v>6</v>
      </c>
      <c r="I27" s="63"/>
      <c r="J27" s="65" t="str">
        <f t="shared" si="39"/>
        <v/>
      </c>
      <c r="M27" s="23"/>
      <c r="N27" s="23"/>
      <c r="O27" s="23"/>
      <c r="P27" s="23"/>
      <c r="R27" s="5"/>
      <c r="S27" s="5"/>
      <c r="T27" s="5"/>
      <c r="U27" s="5"/>
      <c r="V27" s="5"/>
      <c r="X27" s="95" t="str">
        <f t="shared" si="40"/>
        <v>Australien</v>
      </c>
      <c r="Y27" s="96">
        <f t="shared" si="32"/>
        <v>0</v>
      </c>
      <c r="Z27" s="96">
        <f t="shared" si="33"/>
        <v>0</v>
      </c>
      <c r="AA27" s="96">
        <f t="shared" si="34"/>
        <v>0</v>
      </c>
      <c r="AB27" s="95" t="str">
        <f t="shared" si="41"/>
        <v>Peru</v>
      </c>
      <c r="AC27" s="96">
        <f t="shared" si="35"/>
        <v>0</v>
      </c>
      <c r="AD27" s="77">
        <f t="shared" si="36"/>
        <v>0</v>
      </c>
      <c r="AE27" s="77">
        <f t="shared" si="37"/>
        <v>0</v>
      </c>
      <c r="AX27" s="97">
        <v>38</v>
      </c>
      <c r="AY27" s="108">
        <v>41814.708333333336</v>
      </c>
      <c r="AZ27" s="99" t="s">
        <v>43</v>
      </c>
      <c r="BA27" s="100" t="s">
        <v>6</v>
      </c>
      <c r="BB27" s="101" t="s">
        <v>46</v>
      </c>
      <c r="BC27" s="171" t="e">
        <f>IF(G27=#REF!,2,0)</f>
        <v>#REF!</v>
      </c>
      <c r="BD27" s="65" t="s">
        <v>6</v>
      </c>
      <c r="BE27" s="171" t="e">
        <f>IF(I27=#REF!,2,0)</f>
        <v>#REF!</v>
      </c>
      <c r="BF27" s="102" t="e">
        <f>IF(J27=#REF!,2,0)</f>
        <v>#REF!</v>
      </c>
      <c r="BG27" s="103" t="e">
        <f t="shared" si="38"/>
        <v>#REF!</v>
      </c>
      <c r="BJ27" s="49"/>
      <c r="BK27" s="49"/>
      <c r="BL27" s="49"/>
      <c r="BM27" s="49"/>
      <c r="BO27" s="94">
        <v>24</v>
      </c>
      <c r="BP27" s="16"/>
      <c r="BQ27" s="179"/>
      <c r="BR27" s="184"/>
    </row>
    <row r="28" spans="2:70" ht="14.25" customHeight="1" x14ac:dyDescent="0.25">
      <c r="C28" s="38"/>
      <c r="J28" s="24"/>
      <c r="M28" s="23"/>
      <c r="N28" s="23"/>
      <c r="O28" s="23"/>
      <c r="P28" s="23"/>
      <c r="R28" s="5"/>
      <c r="S28" s="5"/>
      <c r="T28" s="5"/>
      <c r="U28" s="5"/>
      <c r="V28" s="5"/>
      <c r="AY28" s="41"/>
      <c r="BG28" s="119"/>
      <c r="BJ28" s="49"/>
      <c r="BK28" s="49"/>
      <c r="BL28" s="49"/>
      <c r="BM28" s="49"/>
      <c r="BO28" s="94">
        <v>25</v>
      </c>
      <c r="BP28" s="16"/>
      <c r="BQ28" s="179"/>
      <c r="BR28" s="184"/>
    </row>
    <row r="29" spans="2:70" s="26" customFormat="1" ht="14.25" customHeight="1" x14ac:dyDescent="0.25">
      <c r="B29" s="6" t="s">
        <v>53</v>
      </c>
      <c r="C29" s="120"/>
      <c r="D29" s="72"/>
      <c r="E29" s="27"/>
      <c r="F29" s="72"/>
      <c r="G29" s="27"/>
      <c r="H29" s="27"/>
      <c r="I29" s="27"/>
      <c r="J29" s="24"/>
      <c r="K29" s="25"/>
      <c r="M29" s="27"/>
      <c r="N29" s="27"/>
      <c r="O29" s="27"/>
      <c r="P29" s="27"/>
      <c r="X29" s="74"/>
      <c r="Y29" s="96"/>
      <c r="Z29" s="96"/>
      <c r="AA29" s="96"/>
      <c r="AB29" s="74"/>
      <c r="AC29" s="123"/>
      <c r="AD29" s="124"/>
      <c r="AE29" s="124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78" t="s">
        <v>53</v>
      </c>
      <c r="AY29" s="125"/>
      <c r="AZ29" s="79"/>
      <c r="BA29" s="80"/>
      <c r="BB29" s="79"/>
      <c r="BC29" s="80"/>
      <c r="BD29" s="80"/>
      <c r="BE29" s="80"/>
      <c r="BF29" s="80"/>
      <c r="BG29" s="24"/>
      <c r="BH29" s="127"/>
      <c r="BI29" s="1"/>
      <c r="BJ29" s="24"/>
      <c r="BK29" s="24"/>
      <c r="BL29" s="24"/>
      <c r="BM29" s="24"/>
      <c r="BO29" s="94">
        <v>26</v>
      </c>
      <c r="BP29" s="16"/>
      <c r="BQ29" s="179"/>
      <c r="BR29" s="184"/>
    </row>
    <row r="30" spans="2:70" s="26" customFormat="1" ht="14.25" customHeight="1" x14ac:dyDescent="0.25">
      <c r="B30" s="137" t="s">
        <v>2</v>
      </c>
      <c r="C30" s="129" t="s">
        <v>3</v>
      </c>
      <c r="D30" s="187" t="s">
        <v>2</v>
      </c>
      <c r="E30" s="188"/>
      <c r="F30" s="189"/>
      <c r="G30" s="188" t="s">
        <v>4</v>
      </c>
      <c r="H30" s="188"/>
      <c r="I30" s="188"/>
      <c r="J30" s="28" t="s">
        <v>81</v>
      </c>
      <c r="K30" s="25"/>
      <c r="L30" s="8" t="s">
        <v>53</v>
      </c>
      <c r="M30" s="9" t="s">
        <v>89</v>
      </c>
      <c r="N30" s="9" t="s">
        <v>90</v>
      </c>
      <c r="O30" s="9" t="s">
        <v>91</v>
      </c>
      <c r="P30" s="10" t="s">
        <v>101</v>
      </c>
      <c r="X30" s="85" t="s">
        <v>87</v>
      </c>
      <c r="Y30" s="85" t="s">
        <v>89</v>
      </c>
      <c r="Z30" s="85" t="s">
        <v>90</v>
      </c>
      <c r="AA30" s="85" t="s">
        <v>91</v>
      </c>
      <c r="AB30" s="85" t="s">
        <v>88</v>
      </c>
      <c r="AC30" s="85" t="s">
        <v>89</v>
      </c>
      <c r="AD30" s="85" t="s">
        <v>90</v>
      </c>
      <c r="AE30" s="85" t="s">
        <v>91</v>
      </c>
      <c r="AF30" s="123"/>
      <c r="AG30" s="86" t="s">
        <v>99</v>
      </c>
      <c r="AH30" s="86" t="s">
        <v>98</v>
      </c>
      <c r="AI30" s="86" t="s">
        <v>97</v>
      </c>
      <c r="AJ30" s="85" t="s">
        <v>96</v>
      </c>
      <c r="AK30" s="85" t="s">
        <v>95</v>
      </c>
      <c r="AL30" s="85" t="s">
        <v>92</v>
      </c>
      <c r="AM30" s="85" t="s">
        <v>89</v>
      </c>
      <c r="AN30" s="85" t="s">
        <v>90</v>
      </c>
      <c r="AO30" s="85" t="s">
        <v>91</v>
      </c>
      <c r="AP30" s="86" t="s">
        <v>93</v>
      </c>
      <c r="AQ30" s="123"/>
      <c r="AR30" s="85" t="s">
        <v>94</v>
      </c>
      <c r="AS30" s="85" t="s">
        <v>92</v>
      </c>
      <c r="AT30" s="85" t="s">
        <v>89</v>
      </c>
      <c r="AU30" s="85" t="s">
        <v>90</v>
      </c>
      <c r="AV30" s="85" t="s">
        <v>91</v>
      </c>
      <c r="AW30" s="86" t="s">
        <v>93</v>
      </c>
      <c r="AX30" s="139" t="s">
        <v>2</v>
      </c>
      <c r="AY30" s="131" t="s">
        <v>3</v>
      </c>
      <c r="AZ30" s="190" t="s">
        <v>2</v>
      </c>
      <c r="BA30" s="191"/>
      <c r="BB30" s="192"/>
      <c r="BC30" s="191" t="s">
        <v>4</v>
      </c>
      <c r="BD30" s="191"/>
      <c r="BE30" s="191"/>
      <c r="BF30" s="69" t="s">
        <v>81</v>
      </c>
      <c r="BG30" s="28" t="s">
        <v>89</v>
      </c>
      <c r="BH30" s="127"/>
      <c r="BI30" s="132"/>
      <c r="BJ30" s="24"/>
      <c r="BK30" s="24"/>
      <c r="BL30" s="24"/>
      <c r="BM30" s="24"/>
      <c r="BO30" s="94">
        <v>27</v>
      </c>
      <c r="BP30" s="16"/>
      <c r="BQ30" s="179"/>
      <c r="BR30" s="184"/>
    </row>
    <row r="31" spans="2:70" ht="14.25" customHeight="1" x14ac:dyDescent="0.25">
      <c r="B31" s="16">
        <v>7</v>
      </c>
      <c r="C31" s="107">
        <v>43267</v>
      </c>
      <c r="D31" s="91" t="s">
        <v>67</v>
      </c>
      <c r="E31" s="92" t="s">
        <v>6</v>
      </c>
      <c r="F31" s="93" t="s">
        <v>169</v>
      </c>
      <c r="G31" s="63"/>
      <c r="H31" s="94" t="s">
        <v>6</v>
      </c>
      <c r="I31" s="63"/>
      <c r="J31" s="65" t="str">
        <f>IF(OR(ISBLANK(G31),ISBLANK(I31)),"",IF(G31&gt;I31,1,IF(G31&lt;I31,2,"X")))</f>
        <v/>
      </c>
      <c r="K31" s="12">
        <v>1</v>
      </c>
      <c r="L31" s="13" t="str">
        <f>VLOOKUP(K31,$AR$31:$AW$34,2,FALSE)</f>
        <v>Argentina</v>
      </c>
      <c r="M31" s="14">
        <f>VLOOKUP(L31,$AS$31:$AW$34,2,FALSE)</f>
        <v>0</v>
      </c>
      <c r="N31" s="14">
        <f>VLOOKUP(L31,$AS$31:$AW$34,3,FALSE)</f>
        <v>0</v>
      </c>
      <c r="O31" s="14">
        <f>VLOOKUP(L31,$AS$31:$AW$34,4,FALSE)</f>
        <v>0</v>
      </c>
      <c r="P31" s="15">
        <f>VLOOKUP(L31,$AS$31:$AW$34,5,FALSE)</f>
        <v>0</v>
      </c>
      <c r="R31" s="5"/>
      <c r="S31" s="5"/>
      <c r="T31" s="5"/>
      <c r="U31" s="5"/>
      <c r="V31" s="5"/>
      <c r="X31" s="95" t="str">
        <f>D31</f>
        <v>Argentina</v>
      </c>
      <c r="Y31" s="96">
        <f t="shared" ref="Y31:Y36" si="54">IF(G31="",0,IF($G31&lt;$I31,0,IF($G31=$I31,1,3)))</f>
        <v>0</v>
      </c>
      <c r="Z31" s="96">
        <f t="shared" ref="Z31:Z36" si="55">G31</f>
        <v>0</v>
      </c>
      <c r="AA31" s="96">
        <f t="shared" ref="AA31:AA36" si="56">I31</f>
        <v>0</v>
      </c>
      <c r="AB31" s="95" t="str">
        <f>F31</f>
        <v>Island</v>
      </c>
      <c r="AC31" s="96">
        <f t="shared" ref="AC31:AC36" si="57">IF(I31="",0,IF(I31&lt;G31,0,IF(I31=G31,1,3)))</f>
        <v>0</v>
      </c>
      <c r="AD31" s="77">
        <f t="shared" ref="AD31:AD36" si="58">I31</f>
        <v>0</v>
      </c>
      <c r="AE31" s="77">
        <f t="shared" ref="AE31:AE36" si="59">G31</f>
        <v>0</v>
      </c>
      <c r="AG31" s="76">
        <f>RANK($AH31,$AH$31:$AH$34,1)+COUNTIF($AH$31:$AH31,$AH31)-1</f>
        <v>1</v>
      </c>
      <c r="AH31" s="76">
        <f>AI31+AJ31+AK31</f>
        <v>1</v>
      </c>
      <c r="AI31" s="76">
        <f>SUMPRODUCT(($AM$31:$AM$34=AM31)*($AP$31:$AP$34=AP31)*($AN$31:$AN$34&gt;AN31))</f>
        <v>0</v>
      </c>
      <c r="AJ31" s="76">
        <f>SUMPRODUCT(($AM$31:$AM$34=AM31)*($AP$31:$AP$34&gt;AP31))</f>
        <v>0</v>
      </c>
      <c r="AK31" s="76">
        <f>RANK(AM31,$AM$31:$AM$34)</f>
        <v>1</v>
      </c>
      <c r="AL31" s="95" t="s">
        <v>67</v>
      </c>
      <c r="AM31" s="76">
        <f>SUMIF($X$31:$X$36,$AL31,$Y$31:$Y$36)+SUMIF($AB$31:$AB$36,$AL31,$AC$31:$AC$36)</f>
        <v>0</v>
      </c>
      <c r="AN31" s="76">
        <f>SUMIF($X$31:$X$36,$AL31,$Z$31:$Z$36)+SUMIF($AB$31:$AB$36,$AL31,$AD$31:$AD$36)</f>
        <v>0</v>
      </c>
      <c r="AO31" s="76">
        <f>SUMIF($X$31:$X$36,$AL31,$AA$31:$AA$36)+SUMIF($AB$31:$AB$36,$AL31,$AE$31:$AE$36)</f>
        <v>0</v>
      </c>
      <c r="AP31" s="76">
        <f>AN31-AO31</f>
        <v>0</v>
      </c>
      <c r="AR31" s="76">
        <v>1</v>
      </c>
      <c r="AS31" s="76" t="str">
        <f>VLOOKUP($AR31,$AG$31:$AP$34,6,FALSE)</f>
        <v>Argentina</v>
      </c>
      <c r="AT31" s="76">
        <f>VLOOKUP($AS31,$AL$31:$AP$34,2,FALSE)</f>
        <v>0</v>
      </c>
      <c r="AU31" s="76">
        <f>VLOOKUP($AS31,$AL$31:$AP$34,3,FALSE)</f>
        <v>0</v>
      </c>
      <c r="AV31" s="76">
        <f>VLOOKUP($AS31,$AL$31:$AP$34,4,FALSE)</f>
        <v>0</v>
      </c>
      <c r="AW31" s="76">
        <f>VLOOKUP($AS31,$AL$31:$AP$34,5,FALSE)</f>
        <v>0</v>
      </c>
      <c r="AX31" s="97">
        <v>7</v>
      </c>
      <c r="AY31" s="108">
        <v>41804.666666666664</v>
      </c>
      <c r="AZ31" s="99" t="s">
        <v>55</v>
      </c>
      <c r="BA31" s="100" t="s">
        <v>6</v>
      </c>
      <c r="BB31" s="101" t="s">
        <v>56</v>
      </c>
      <c r="BC31" s="171" t="e">
        <f>IF(G31=#REF!,2,0)</f>
        <v>#REF!</v>
      </c>
      <c r="BD31" s="65" t="s">
        <v>6</v>
      </c>
      <c r="BE31" s="171" t="e">
        <f>IF(I31=#REF!,2,0)</f>
        <v>#REF!</v>
      </c>
      <c r="BF31" s="102" t="e">
        <f>IF(J31=#REF!,2,0)</f>
        <v>#REF!</v>
      </c>
      <c r="BG31" s="103" t="e">
        <f t="shared" ref="BG31:BG36" si="60">SUM(BC31+BE31+BF31)</f>
        <v>#REF!</v>
      </c>
      <c r="BH31" s="104"/>
      <c r="BI31" s="78"/>
      <c r="BJ31" s="49"/>
      <c r="BK31" s="49"/>
      <c r="BL31" s="49"/>
      <c r="BM31" s="49"/>
      <c r="BO31" s="94">
        <v>28</v>
      </c>
      <c r="BP31" s="16"/>
      <c r="BQ31" s="179"/>
      <c r="BR31" s="184"/>
    </row>
    <row r="32" spans="2:70" ht="14.25" customHeight="1" x14ac:dyDescent="0.25">
      <c r="B32" s="16">
        <v>8</v>
      </c>
      <c r="C32" s="107">
        <v>43267</v>
      </c>
      <c r="D32" s="91" t="s">
        <v>7</v>
      </c>
      <c r="E32" s="92" t="s">
        <v>6</v>
      </c>
      <c r="F32" s="93" t="s">
        <v>70</v>
      </c>
      <c r="G32" s="63"/>
      <c r="H32" s="94" t="s">
        <v>6</v>
      </c>
      <c r="I32" s="63"/>
      <c r="J32" s="65" t="str">
        <f t="shared" ref="J32:J36" si="61">IF(OR(ISBLANK(G32),ISBLANK(I32)),"",IF(G32&gt;I32,1,IF(G32&lt;I32,2,"X")))</f>
        <v/>
      </c>
      <c r="K32" s="2">
        <v>2</v>
      </c>
      <c r="L32" s="17" t="str">
        <f>VLOOKUP(K32,$AR$31:$AW$34,2,FALSE)</f>
        <v>Island</v>
      </c>
      <c r="M32" s="18">
        <f>VLOOKUP(L32,$AS$31:$AW$34,2,FALSE)</f>
        <v>0</v>
      </c>
      <c r="N32" s="18">
        <f>VLOOKUP(L32,$AS$31:$AW$34,3,FALSE)</f>
        <v>0</v>
      </c>
      <c r="O32" s="18">
        <f>VLOOKUP(L32,$AS$31:$AW$34,4,FALSE)</f>
        <v>0</v>
      </c>
      <c r="P32" s="19">
        <f>VLOOKUP(L32,$AS$31:$AW$34,5,FALSE)</f>
        <v>0</v>
      </c>
      <c r="R32" s="5"/>
      <c r="S32" s="5"/>
      <c r="T32" s="5"/>
      <c r="U32" s="5"/>
      <c r="V32" s="5"/>
      <c r="X32" s="95" t="str">
        <f t="shared" ref="X32:X36" si="62">D32</f>
        <v>Kroatien</v>
      </c>
      <c r="Y32" s="96">
        <f t="shared" si="54"/>
        <v>0</v>
      </c>
      <c r="Z32" s="96">
        <f t="shared" si="55"/>
        <v>0</v>
      </c>
      <c r="AA32" s="96">
        <f t="shared" si="56"/>
        <v>0</v>
      </c>
      <c r="AB32" s="95" t="str">
        <f t="shared" ref="AB32:AB36" si="63">F32</f>
        <v>Nigeria</v>
      </c>
      <c r="AC32" s="96">
        <f t="shared" si="57"/>
        <v>0</v>
      </c>
      <c r="AD32" s="77">
        <f t="shared" si="58"/>
        <v>0</v>
      </c>
      <c r="AE32" s="77">
        <f t="shared" si="59"/>
        <v>0</v>
      </c>
      <c r="AG32" s="76">
        <f>RANK($AH32,$AH$31:$AH$34,1)+COUNTIF($AH$31:$AH32,$AH32)-1</f>
        <v>2</v>
      </c>
      <c r="AH32" s="76">
        <f>AI32+AJ32+AK32</f>
        <v>1</v>
      </c>
      <c r="AI32" s="76">
        <f t="shared" ref="AI32:AI34" si="64">SUMPRODUCT(($AM$31:$AM$34=AM32)*($AP$31:$AP$34=AP32)*($AN$31:$AN$34&gt;AN32))</f>
        <v>0</v>
      </c>
      <c r="AJ32" s="76">
        <f t="shared" ref="AJ32:AJ34" si="65">SUMPRODUCT(($AM$31:$AM$34=AM32)*($AP$31:$AP$34&gt;AP32))</f>
        <v>0</v>
      </c>
      <c r="AK32" s="76">
        <f t="shared" ref="AK32:AK34" si="66">RANK(AM32,$AM$31:$AM$34)</f>
        <v>1</v>
      </c>
      <c r="AL32" s="95" t="s">
        <v>169</v>
      </c>
      <c r="AM32" s="76">
        <f t="shared" ref="AM32:AM34" si="67">SUMIF($X$31:$X$36,$AL32,$Y$31:$Y$36)+SUMIF($AB$31:$AB$36,$AL32,$AC$31:$AC$36)</f>
        <v>0</v>
      </c>
      <c r="AN32" s="76">
        <f t="shared" ref="AN32:AN34" si="68">SUMIF($X$31:$X$36,$AL32,$Z$31:$Z$36)+SUMIF($AB$31:$AB$36,$AL32,$AD$31:$AD$36)</f>
        <v>0</v>
      </c>
      <c r="AO32" s="76">
        <f t="shared" ref="AO32:AO34" si="69">SUMIF($X$31:$X$36,$AL32,$AA$31:$AA$36)+SUMIF($AB$31:$AB$36,$AL32,$AE$31:$AE$36)</f>
        <v>0</v>
      </c>
      <c r="AP32" s="76">
        <f t="shared" ref="AP32:AP34" si="70">AN32-AO32</f>
        <v>0</v>
      </c>
      <c r="AR32" s="76">
        <v>2</v>
      </c>
      <c r="AS32" s="76" t="str">
        <f t="shared" ref="AS32:AS34" si="71">VLOOKUP($AR32,$AG$31:$AP$34,6,FALSE)</f>
        <v>Island</v>
      </c>
      <c r="AT32" s="76">
        <f t="shared" ref="AT32:AT34" si="72">VLOOKUP($AS32,$AL$31:$AP$34,2,FALSE)</f>
        <v>0</v>
      </c>
      <c r="AU32" s="76">
        <f t="shared" ref="AU32:AU34" si="73">VLOOKUP($AS32,$AL$31:$AP$34,3,FALSE)</f>
        <v>0</v>
      </c>
      <c r="AV32" s="76">
        <f t="shared" ref="AV32:AV34" si="74">VLOOKUP($AS32,$AL$31:$AP$34,4,FALSE)</f>
        <v>0</v>
      </c>
      <c r="AW32" s="76">
        <f t="shared" ref="AW32:AW34" si="75">VLOOKUP($AS32,$AL$31:$AP$34,5,FALSE)</f>
        <v>0</v>
      </c>
      <c r="AX32" s="97">
        <v>8</v>
      </c>
      <c r="AY32" s="108">
        <v>41804.75</v>
      </c>
      <c r="AZ32" s="99" t="s">
        <v>59</v>
      </c>
      <c r="BA32" s="100" t="s">
        <v>6</v>
      </c>
      <c r="BB32" s="101" t="s">
        <v>60</v>
      </c>
      <c r="BC32" s="171" t="e">
        <f>IF(G32=#REF!,2,0)</f>
        <v>#REF!</v>
      </c>
      <c r="BD32" s="65" t="s">
        <v>6</v>
      </c>
      <c r="BE32" s="171" t="e">
        <f>IF(I32=#REF!,2,0)</f>
        <v>#REF!</v>
      </c>
      <c r="BF32" s="102" t="e">
        <f>IF(J32=#REF!,2,0)</f>
        <v>#REF!</v>
      </c>
      <c r="BG32" s="103" t="e">
        <f t="shared" si="60"/>
        <v>#REF!</v>
      </c>
      <c r="BI32" s="78"/>
      <c r="BJ32" s="49"/>
      <c r="BK32" s="49"/>
      <c r="BL32" s="49"/>
      <c r="BM32" s="49"/>
      <c r="BO32" s="94">
        <v>29</v>
      </c>
      <c r="BP32" s="16"/>
      <c r="BQ32" s="179"/>
      <c r="BR32" s="184"/>
    </row>
    <row r="33" spans="2:70" ht="14.25" customHeight="1" x14ac:dyDescent="0.25">
      <c r="B33" s="16">
        <v>23</v>
      </c>
      <c r="C33" s="107">
        <v>43272</v>
      </c>
      <c r="D33" s="91" t="s">
        <v>67</v>
      </c>
      <c r="E33" s="92" t="s">
        <v>6</v>
      </c>
      <c r="F33" s="93" t="s">
        <v>7</v>
      </c>
      <c r="G33" s="63"/>
      <c r="H33" s="94" t="s">
        <v>6</v>
      </c>
      <c r="I33" s="63"/>
      <c r="J33" s="65" t="str">
        <f t="shared" si="61"/>
        <v/>
      </c>
      <c r="K33" s="2">
        <v>3</v>
      </c>
      <c r="L33" s="158" t="str">
        <f>VLOOKUP(K33,$AR$31:$AW$34,2,FALSE)</f>
        <v>Kroatien</v>
      </c>
      <c r="M33" s="32">
        <f>VLOOKUP(L33,$AS$31:$AW$34,2,FALSE)</f>
        <v>0</v>
      </c>
      <c r="N33" s="32">
        <f>VLOOKUP(L33,$AS$31:$AW$34,3,FALSE)</f>
        <v>0</v>
      </c>
      <c r="O33" s="32">
        <f>VLOOKUP(L33,$AS$31:$AW$34,4,FALSE)</f>
        <v>0</v>
      </c>
      <c r="P33" s="33">
        <f>VLOOKUP(L33,$AS$31:$AW$34,5,FALSE)</f>
        <v>0</v>
      </c>
      <c r="R33" s="5"/>
      <c r="S33" s="5"/>
      <c r="T33" s="5"/>
      <c r="U33" s="5"/>
      <c r="V33" s="5"/>
      <c r="X33" s="95" t="str">
        <f t="shared" si="62"/>
        <v>Argentina</v>
      </c>
      <c r="Y33" s="96">
        <f t="shared" si="54"/>
        <v>0</v>
      </c>
      <c r="Z33" s="96">
        <f t="shared" si="55"/>
        <v>0</v>
      </c>
      <c r="AA33" s="96">
        <f t="shared" si="56"/>
        <v>0</v>
      </c>
      <c r="AB33" s="95" t="str">
        <f t="shared" si="63"/>
        <v>Kroatien</v>
      </c>
      <c r="AC33" s="96">
        <f t="shared" si="57"/>
        <v>0</v>
      </c>
      <c r="AD33" s="77">
        <f t="shared" si="58"/>
        <v>0</v>
      </c>
      <c r="AE33" s="77">
        <f t="shared" si="59"/>
        <v>0</v>
      </c>
      <c r="AG33" s="76">
        <f>RANK($AH33,$AH$31:$AH$34,1)+COUNTIF($AH$31:$AH33,$AH33)-1</f>
        <v>3</v>
      </c>
      <c r="AH33" s="76">
        <f>AI33+AJ33+AK33</f>
        <v>1</v>
      </c>
      <c r="AI33" s="76">
        <f t="shared" si="64"/>
        <v>0</v>
      </c>
      <c r="AJ33" s="76">
        <f t="shared" si="65"/>
        <v>0</v>
      </c>
      <c r="AK33" s="76">
        <f t="shared" si="66"/>
        <v>1</v>
      </c>
      <c r="AL33" s="95" t="s">
        <v>7</v>
      </c>
      <c r="AM33" s="76">
        <f t="shared" si="67"/>
        <v>0</v>
      </c>
      <c r="AN33" s="76">
        <f t="shared" si="68"/>
        <v>0</v>
      </c>
      <c r="AO33" s="76">
        <f t="shared" si="69"/>
        <v>0</v>
      </c>
      <c r="AP33" s="76">
        <f t="shared" si="70"/>
        <v>0</v>
      </c>
      <c r="AR33" s="76">
        <v>3</v>
      </c>
      <c r="AS33" s="76" t="str">
        <f t="shared" si="71"/>
        <v>Kroatien</v>
      </c>
      <c r="AT33" s="76">
        <f t="shared" si="72"/>
        <v>0</v>
      </c>
      <c r="AU33" s="76">
        <f t="shared" si="73"/>
        <v>0</v>
      </c>
      <c r="AV33" s="76">
        <f t="shared" si="74"/>
        <v>0</v>
      </c>
      <c r="AW33" s="76">
        <f t="shared" si="75"/>
        <v>0</v>
      </c>
      <c r="AX33" s="97">
        <v>23</v>
      </c>
      <c r="AY33" s="108">
        <v>41809.666666666664</v>
      </c>
      <c r="AZ33" s="99" t="s">
        <v>55</v>
      </c>
      <c r="BA33" s="100" t="s">
        <v>6</v>
      </c>
      <c r="BB33" s="101" t="s">
        <v>59</v>
      </c>
      <c r="BC33" s="171" t="e">
        <f>IF(G33=#REF!,2,0)</f>
        <v>#REF!</v>
      </c>
      <c r="BD33" s="65" t="s">
        <v>6</v>
      </c>
      <c r="BE33" s="171" t="e">
        <f>IF(I33=#REF!,2,0)</f>
        <v>#REF!</v>
      </c>
      <c r="BF33" s="102" t="e">
        <f>IF(J33=#REF!,2,0)</f>
        <v>#REF!</v>
      </c>
      <c r="BG33" s="103" t="e">
        <f t="shared" si="60"/>
        <v>#REF!</v>
      </c>
      <c r="BI33" s="45"/>
      <c r="BJ33" s="49"/>
      <c r="BK33" s="49"/>
      <c r="BL33" s="49"/>
      <c r="BM33" s="49"/>
      <c r="BO33" s="94">
        <v>30</v>
      </c>
      <c r="BP33" s="16"/>
      <c r="BQ33" s="179"/>
      <c r="BR33" s="184"/>
    </row>
    <row r="34" spans="2:70" ht="14.25" customHeight="1" x14ac:dyDescent="0.25">
      <c r="B34" s="16">
        <v>24</v>
      </c>
      <c r="C34" s="107">
        <v>43273</v>
      </c>
      <c r="D34" s="91" t="s">
        <v>70</v>
      </c>
      <c r="E34" s="92" t="s">
        <v>6</v>
      </c>
      <c r="F34" s="93" t="s">
        <v>169</v>
      </c>
      <c r="G34" s="63"/>
      <c r="H34" s="94" t="s">
        <v>6</v>
      </c>
      <c r="I34" s="63"/>
      <c r="J34" s="65" t="str">
        <f t="shared" si="61"/>
        <v/>
      </c>
      <c r="K34" s="2">
        <v>4</v>
      </c>
      <c r="L34" s="21" t="str">
        <f>VLOOKUP(K34,$AR$31:$AW$34,2,FALSE)</f>
        <v>Nigeria</v>
      </c>
      <c r="M34" s="18">
        <f>VLOOKUP(L34,$AS$31:$AW$34,2,FALSE)</f>
        <v>0</v>
      </c>
      <c r="N34" s="18">
        <f>VLOOKUP(L34,$AS$31:$AW$34,3,FALSE)</f>
        <v>0</v>
      </c>
      <c r="O34" s="18">
        <f>VLOOKUP(L34,$AS$31:$AW$34,4,FALSE)</f>
        <v>0</v>
      </c>
      <c r="P34" s="19">
        <f>VLOOKUP(L34,$AS$31:$AW$34,5,FALSE)</f>
        <v>0</v>
      </c>
      <c r="R34" s="5"/>
      <c r="S34" s="5"/>
      <c r="T34" s="5"/>
      <c r="U34" s="5"/>
      <c r="V34" s="5"/>
      <c r="X34" s="95" t="str">
        <f t="shared" si="62"/>
        <v>Nigeria</v>
      </c>
      <c r="Y34" s="96">
        <f t="shared" si="54"/>
        <v>0</v>
      </c>
      <c r="Z34" s="96">
        <f t="shared" si="55"/>
        <v>0</v>
      </c>
      <c r="AA34" s="96">
        <f t="shared" si="56"/>
        <v>0</v>
      </c>
      <c r="AB34" s="95" t="str">
        <f t="shared" si="63"/>
        <v>Island</v>
      </c>
      <c r="AC34" s="96">
        <f t="shared" si="57"/>
        <v>0</v>
      </c>
      <c r="AD34" s="77">
        <f t="shared" si="58"/>
        <v>0</v>
      </c>
      <c r="AE34" s="77">
        <f t="shared" si="59"/>
        <v>0</v>
      </c>
      <c r="AG34" s="76">
        <f>RANK($AH34,$AH$31:$AH$34,1)+COUNTIF($AH$31:$AH34,$AH34)-1</f>
        <v>4</v>
      </c>
      <c r="AH34" s="76">
        <f>AI34+AJ34+AK34</f>
        <v>1</v>
      </c>
      <c r="AI34" s="76">
        <f t="shared" si="64"/>
        <v>0</v>
      </c>
      <c r="AJ34" s="76">
        <f t="shared" si="65"/>
        <v>0</v>
      </c>
      <c r="AK34" s="76">
        <f t="shared" si="66"/>
        <v>1</v>
      </c>
      <c r="AL34" s="95" t="s">
        <v>70</v>
      </c>
      <c r="AM34" s="76">
        <f t="shared" si="67"/>
        <v>0</v>
      </c>
      <c r="AN34" s="76">
        <f t="shared" si="68"/>
        <v>0</v>
      </c>
      <c r="AO34" s="76">
        <f t="shared" si="69"/>
        <v>0</v>
      </c>
      <c r="AP34" s="76">
        <f t="shared" si="70"/>
        <v>0</v>
      </c>
      <c r="AR34" s="76">
        <v>4</v>
      </c>
      <c r="AS34" s="76" t="str">
        <f t="shared" si="71"/>
        <v>Nigeria</v>
      </c>
      <c r="AT34" s="76">
        <f t="shared" si="72"/>
        <v>0</v>
      </c>
      <c r="AU34" s="76">
        <f t="shared" si="73"/>
        <v>0</v>
      </c>
      <c r="AV34" s="76">
        <f t="shared" si="74"/>
        <v>0</v>
      </c>
      <c r="AW34" s="76">
        <f t="shared" si="75"/>
        <v>0</v>
      </c>
      <c r="AX34" s="97">
        <v>24</v>
      </c>
      <c r="AY34" s="108">
        <v>41810.541666666664</v>
      </c>
      <c r="AZ34" s="99" t="s">
        <v>60</v>
      </c>
      <c r="BA34" s="100" t="s">
        <v>6</v>
      </c>
      <c r="BB34" s="101" t="s">
        <v>56</v>
      </c>
      <c r="BC34" s="171" t="e">
        <f>IF(G34=#REF!,2,0)</f>
        <v>#REF!</v>
      </c>
      <c r="BD34" s="65" t="s">
        <v>6</v>
      </c>
      <c r="BE34" s="171" t="e">
        <f>IF(I34=#REF!,2,0)</f>
        <v>#REF!</v>
      </c>
      <c r="BF34" s="102" t="e">
        <f>IF(J34=#REF!,2,0)</f>
        <v>#REF!</v>
      </c>
      <c r="BG34" s="103" t="e">
        <f t="shared" si="60"/>
        <v>#REF!</v>
      </c>
      <c r="BI34" s="45"/>
      <c r="BJ34" s="49"/>
      <c r="BK34" s="49"/>
      <c r="BL34" s="49"/>
      <c r="BM34" s="49"/>
      <c r="BO34" s="94">
        <v>31</v>
      </c>
      <c r="BP34" s="16"/>
      <c r="BQ34" s="179"/>
      <c r="BR34" s="184"/>
    </row>
    <row r="35" spans="2:70" ht="14.25" customHeight="1" x14ac:dyDescent="0.25">
      <c r="B35" s="16">
        <v>39</v>
      </c>
      <c r="C35" s="107">
        <v>43277</v>
      </c>
      <c r="D35" s="91" t="s">
        <v>70</v>
      </c>
      <c r="E35" s="92" t="s">
        <v>6</v>
      </c>
      <c r="F35" s="93" t="s">
        <v>67</v>
      </c>
      <c r="G35" s="63"/>
      <c r="H35" s="94" t="s">
        <v>6</v>
      </c>
      <c r="I35" s="63"/>
      <c r="J35" s="65" t="str">
        <f t="shared" si="61"/>
        <v/>
      </c>
      <c r="M35" s="23"/>
      <c r="N35" s="35"/>
      <c r="O35" s="23"/>
      <c r="P35" s="23"/>
      <c r="R35" s="5"/>
      <c r="S35" s="5"/>
      <c r="T35" s="5"/>
      <c r="U35" s="5"/>
      <c r="V35" s="5"/>
      <c r="X35" s="95" t="str">
        <f t="shared" si="62"/>
        <v>Nigeria</v>
      </c>
      <c r="Y35" s="96">
        <f t="shared" si="54"/>
        <v>0</v>
      </c>
      <c r="Z35" s="96">
        <f t="shared" si="55"/>
        <v>0</v>
      </c>
      <c r="AA35" s="96">
        <f t="shared" si="56"/>
        <v>0</v>
      </c>
      <c r="AB35" s="95" t="str">
        <f t="shared" si="63"/>
        <v>Argentina</v>
      </c>
      <c r="AC35" s="96">
        <f t="shared" si="57"/>
        <v>0</v>
      </c>
      <c r="AD35" s="77">
        <f t="shared" si="58"/>
        <v>0</v>
      </c>
      <c r="AE35" s="77">
        <f t="shared" si="59"/>
        <v>0</v>
      </c>
      <c r="AX35" s="97">
        <v>39</v>
      </c>
      <c r="AY35" s="108">
        <v>41814.541666666664</v>
      </c>
      <c r="AZ35" s="99" t="s">
        <v>60</v>
      </c>
      <c r="BA35" s="100" t="s">
        <v>6</v>
      </c>
      <c r="BB35" s="101" t="s">
        <v>55</v>
      </c>
      <c r="BC35" s="171" t="e">
        <f>IF(G35=#REF!,2,0)</f>
        <v>#REF!</v>
      </c>
      <c r="BD35" s="65" t="s">
        <v>6</v>
      </c>
      <c r="BE35" s="171" t="e">
        <f>IF(I35=#REF!,2,0)</f>
        <v>#REF!</v>
      </c>
      <c r="BF35" s="102" t="e">
        <f>IF(J35=#REF!,2,0)</f>
        <v>#REF!</v>
      </c>
      <c r="BG35" s="103" t="e">
        <f t="shared" si="60"/>
        <v>#REF!</v>
      </c>
      <c r="BJ35" s="49"/>
      <c r="BK35" s="46"/>
      <c r="BL35" s="49"/>
      <c r="BM35" s="49"/>
      <c r="BO35" s="94">
        <v>32</v>
      </c>
      <c r="BP35" s="16"/>
      <c r="BQ35" s="179"/>
      <c r="BR35" s="184"/>
    </row>
    <row r="36" spans="2:70" ht="14.25" customHeight="1" x14ac:dyDescent="0.25">
      <c r="B36" s="16">
        <v>40</v>
      </c>
      <c r="C36" s="107">
        <v>43277</v>
      </c>
      <c r="D36" s="91" t="s">
        <v>169</v>
      </c>
      <c r="E36" s="92" t="s">
        <v>6</v>
      </c>
      <c r="F36" s="93" t="s">
        <v>7</v>
      </c>
      <c r="G36" s="63"/>
      <c r="H36" s="94" t="s">
        <v>6</v>
      </c>
      <c r="I36" s="63"/>
      <c r="J36" s="65" t="str">
        <f t="shared" si="61"/>
        <v/>
      </c>
      <c r="M36" s="23"/>
      <c r="N36" s="35"/>
      <c r="O36" s="23"/>
      <c r="P36" s="23"/>
      <c r="R36" s="5"/>
      <c r="S36" s="5"/>
      <c r="T36" s="5"/>
      <c r="U36" s="5"/>
      <c r="V36" s="5"/>
      <c r="X36" s="95" t="str">
        <f t="shared" si="62"/>
        <v>Island</v>
      </c>
      <c r="Y36" s="96">
        <f t="shared" si="54"/>
        <v>0</v>
      </c>
      <c r="Z36" s="96">
        <f t="shared" si="55"/>
        <v>0</v>
      </c>
      <c r="AA36" s="96">
        <f t="shared" si="56"/>
        <v>0</v>
      </c>
      <c r="AB36" s="95" t="str">
        <f t="shared" si="63"/>
        <v>Kroatien</v>
      </c>
      <c r="AC36" s="96">
        <f t="shared" si="57"/>
        <v>0</v>
      </c>
      <c r="AD36" s="77">
        <f t="shared" si="58"/>
        <v>0</v>
      </c>
      <c r="AE36" s="77">
        <f t="shared" si="59"/>
        <v>0</v>
      </c>
      <c r="AX36" s="97">
        <v>40</v>
      </c>
      <c r="AY36" s="108">
        <v>41814.541666666664</v>
      </c>
      <c r="AZ36" s="99" t="s">
        <v>56</v>
      </c>
      <c r="BA36" s="100" t="s">
        <v>6</v>
      </c>
      <c r="BB36" s="101" t="s">
        <v>59</v>
      </c>
      <c r="BC36" s="171" t="e">
        <f>IF(G36=#REF!,2,0)</f>
        <v>#REF!</v>
      </c>
      <c r="BD36" s="65" t="s">
        <v>6</v>
      </c>
      <c r="BE36" s="171" t="e">
        <f>IF(I36=#REF!,2,0)</f>
        <v>#REF!</v>
      </c>
      <c r="BF36" s="102" t="e">
        <f>IF(J36=#REF!,2,0)</f>
        <v>#REF!</v>
      </c>
      <c r="BG36" s="103" t="e">
        <f t="shared" si="60"/>
        <v>#REF!</v>
      </c>
      <c r="BJ36" s="49"/>
      <c r="BK36" s="46"/>
      <c r="BL36" s="49"/>
      <c r="BM36" s="49"/>
      <c r="BO36" s="94">
        <v>33</v>
      </c>
      <c r="BP36" s="16"/>
      <c r="BQ36" s="179"/>
      <c r="BR36" s="184"/>
    </row>
    <row r="37" spans="2:70" ht="14.25" customHeight="1" x14ac:dyDescent="0.25">
      <c r="C37" s="38"/>
      <c r="F37" s="23"/>
      <c r="J37" s="24"/>
      <c r="M37" s="23"/>
      <c r="N37" s="35"/>
      <c r="O37" s="23"/>
      <c r="P37" s="23"/>
      <c r="R37" s="5"/>
      <c r="S37" s="5"/>
      <c r="T37" s="5"/>
      <c r="U37" s="5"/>
      <c r="V37" s="5"/>
      <c r="AY37" s="41"/>
      <c r="BG37" s="119"/>
      <c r="BJ37" s="49"/>
      <c r="BK37" s="46"/>
      <c r="BL37" s="49"/>
      <c r="BM37" s="49"/>
      <c r="BO37" s="94">
        <v>34</v>
      </c>
      <c r="BP37" s="16"/>
      <c r="BQ37" s="179"/>
      <c r="BR37" s="184"/>
    </row>
    <row r="38" spans="2:70" s="26" customFormat="1" ht="14.25" customHeight="1" x14ac:dyDescent="0.25">
      <c r="B38" s="6" t="s">
        <v>61</v>
      </c>
      <c r="C38" s="120"/>
      <c r="D38" s="135"/>
      <c r="E38" s="27"/>
      <c r="F38" s="135"/>
      <c r="G38" s="27"/>
      <c r="H38" s="27"/>
      <c r="I38" s="27"/>
      <c r="J38" s="24"/>
      <c r="K38" s="25"/>
      <c r="M38" s="27"/>
      <c r="N38" s="36"/>
      <c r="O38" s="27"/>
      <c r="P38" s="27"/>
      <c r="R38" s="27"/>
      <c r="S38" s="27"/>
      <c r="T38" s="27"/>
      <c r="U38" s="27"/>
      <c r="V38" s="141"/>
      <c r="X38" s="74"/>
      <c r="Y38" s="96"/>
      <c r="Z38" s="96"/>
      <c r="AA38" s="96"/>
      <c r="AB38" s="74"/>
      <c r="AC38" s="123"/>
      <c r="AD38" s="124"/>
      <c r="AE38" s="124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78" t="s">
        <v>61</v>
      </c>
      <c r="AY38" s="125"/>
      <c r="AZ38" s="79"/>
      <c r="BA38" s="80"/>
      <c r="BB38" s="79"/>
      <c r="BC38" s="80"/>
      <c r="BD38" s="80"/>
      <c r="BE38" s="80"/>
      <c r="BF38" s="80"/>
      <c r="BG38" s="24"/>
      <c r="BH38" s="127"/>
      <c r="BI38" s="1"/>
      <c r="BJ38" s="24"/>
      <c r="BK38" s="142"/>
      <c r="BL38" s="24"/>
      <c r="BM38" s="24"/>
      <c r="BO38" s="94">
        <v>35</v>
      </c>
      <c r="BP38" s="16"/>
      <c r="BQ38" s="179"/>
      <c r="BR38" s="184"/>
    </row>
    <row r="39" spans="2:70" s="26" customFormat="1" ht="14.25" customHeight="1" x14ac:dyDescent="0.25">
      <c r="B39" s="137" t="s">
        <v>2</v>
      </c>
      <c r="C39" s="129" t="s">
        <v>3</v>
      </c>
      <c r="D39" s="187" t="s">
        <v>2</v>
      </c>
      <c r="E39" s="188"/>
      <c r="F39" s="189"/>
      <c r="G39" s="188" t="s">
        <v>4</v>
      </c>
      <c r="H39" s="188"/>
      <c r="I39" s="188"/>
      <c r="J39" s="28" t="s">
        <v>81</v>
      </c>
      <c r="K39" s="25"/>
      <c r="L39" s="8" t="s">
        <v>61</v>
      </c>
      <c r="M39" s="9" t="s">
        <v>89</v>
      </c>
      <c r="N39" s="9" t="s">
        <v>90</v>
      </c>
      <c r="O39" s="9" t="s">
        <v>91</v>
      </c>
      <c r="P39" s="10" t="s">
        <v>101</v>
      </c>
      <c r="R39" s="27"/>
      <c r="S39" s="27"/>
      <c r="T39" s="27"/>
      <c r="U39" s="27"/>
      <c r="V39" s="141"/>
      <c r="X39" s="85" t="s">
        <v>87</v>
      </c>
      <c r="Y39" s="85" t="s">
        <v>89</v>
      </c>
      <c r="Z39" s="85" t="s">
        <v>90</v>
      </c>
      <c r="AA39" s="85" t="s">
        <v>91</v>
      </c>
      <c r="AB39" s="85" t="s">
        <v>88</v>
      </c>
      <c r="AC39" s="85" t="s">
        <v>89</v>
      </c>
      <c r="AD39" s="85" t="s">
        <v>90</v>
      </c>
      <c r="AE39" s="85" t="s">
        <v>91</v>
      </c>
      <c r="AF39" s="123"/>
      <c r="AG39" s="86" t="s">
        <v>99</v>
      </c>
      <c r="AH39" s="86" t="s">
        <v>98</v>
      </c>
      <c r="AI39" s="86" t="s">
        <v>97</v>
      </c>
      <c r="AJ39" s="85" t="s">
        <v>96</v>
      </c>
      <c r="AK39" s="85" t="s">
        <v>95</v>
      </c>
      <c r="AL39" s="85" t="s">
        <v>92</v>
      </c>
      <c r="AM39" s="85" t="s">
        <v>89</v>
      </c>
      <c r="AN39" s="85" t="s">
        <v>90</v>
      </c>
      <c r="AO39" s="85" t="s">
        <v>91</v>
      </c>
      <c r="AP39" s="86" t="s">
        <v>93</v>
      </c>
      <c r="AQ39" s="123"/>
      <c r="AR39" s="85" t="s">
        <v>94</v>
      </c>
      <c r="AS39" s="85" t="s">
        <v>92</v>
      </c>
      <c r="AT39" s="85" t="s">
        <v>89</v>
      </c>
      <c r="AU39" s="85" t="s">
        <v>90</v>
      </c>
      <c r="AV39" s="85" t="s">
        <v>91</v>
      </c>
      <c r="AW39" s="86" t="s">
        <v>93</v>
      </c>
      <c r="AX39" s="139" t="s">
        <v>2</v>
      </c>
      <c r="AY39" s="131" t="s">
        <v>3</v>
      </c>
      <c r="AZ39" s="143" t="s">
        <v>2</v>
      </c>
      <c r="BA39" s="69"/>
      <c r="BB39" s="144"/>
      <c r="BC39" s="191" t="s">
        <v>4</v>
      </c>
      <c r="BD39" s="191"/>
      <c r="BE39" s="191"/>
      <c r="BF39" s="69" t="s">
        <v>81</v>
      </c>
      <c r="BG39" s="28" t="s">
        <v>89</v>
      </c>
      <c r="BH39" s="127"/>
      <c r="BI39" s="132"/>
      <c r="BJ39" s="24"/>
      <c r="BK39" s="24"/>
      <c r="BL39" s="24"/>
      <c r="BM39" s="24"/>
      <c r="BO39" s="94">
        <v>36</v>
      </c>
      <c r="BP39" s="16"/>
      <c r="BQ39" s="179"/>
      <c r="BR39" s="184"/>
    </row>
    <row r="40" spans="2:70" ht="14.25" customHeight="1" x14ac:dyDescent="0.25">
      <c r="B40" s="16">
        <v>10</v>
      </c>
      <c r="C40" s="107">
        <v>43268</v>
      </c>
      <c r="D40" s="91" t="s">
        <v>56</v>
      </c>
      <c r="E40" s="92" t="s">
        <v>6</v>
      </c>
      <c r="F40" s="93" t="s">
        <v>170</v>
      </c>
      <c r="G40" s="63"/>
      <c r="H40" s="94" t="s">
        <v>6</v>
      </c>
      <c r="I40" s="63"/>
      <c r="J40" s="65" t="str">
        <f>IF(OR(ISBLANK(G40),ISBLANK(I40)),"",IF(G40&gt;I40,1,IF(G40&lt;I40,2,"X")))</f>
        <v/>
      </c>
      <c r="K40" s="12">
        <v>1</v>
      </c>
      <c r="L40" s="13" t="str">
        <f>VLOOKUP(K40,$AR$40:$AW$43,2,FALSE)</f>
        <v>Brasilien</v>
      </c>
      <c r="M40" s="14">
        <f>VLOOKUP(L40,$AS$40:$AW$43,2,FALSE)</f>
        <v>0</v>
      </c>
      <c r="N40" s="14">
        <f>VLOOKUP(L40,$AS$40:$AW$43,3,FALSE)</f>
        <v>0</v>
      </c>
      <c r="O40" s="14">
        <f>VLOOKUP(L40,$AS$40:$AW$43,4,FALSE)</f>
        <v>0</v>
      </c>
      <c r="P40" s="15">
        <f>VLOOKUP(L40,$AS$40:$AW$43,5,FALSE)</f>
        <v>0</v>
      </c>
      <c r="X40" s="95" t="str">
        <f>D40</f>
        <v>Costa Rica</v>
      </c>
      <c r="Y40" s="96">
        <f t="shared" ref="Y40:Y45" si="76">IF(G40="",0,IF($G40&lt;$I40,0,IF($G40=$I40,1,3)))</f>
        <v>0</v>
      </c>
      <c r="Z40" s="96">
        <f t="shared" ref="Z40:Z45" si="77">G40</f>
        <v>0</v>
      </c>
      <c r="AA40" s="96">
        <f t="shared" ref="AA40:AA45" si="78">I40</f>
        <v>0</v>
      </c>
      <c r="AB40" s="95" t="str">
        <f>F40</f>
        <v>Serbien</v>
      </c>
      <c r="AC40" s="96">
        <f t="shared" ref="AC40:AC45" si="79">IF(I40="",0,IF(I40&lt;G40,0,IF(I40=G40,1,3)))</f>
        <v>0</v>
      </c>
      <c r="AD40" s="77">
        <f t="shared" ref="AD40:AD45" si="80">I40</f>
        <v>0</v>
      </c>
      <c r="AE40" s="77">
        <f t="shared" ref="AE40:AE45" si="81">G40</f>
        <v>0</v>
      </c>
      <c r="AG40" s="76">
        <f>RANK($AH40,$AH$40:$AH$43,1)+COUNTIF($AH$40:$AH40,$AH40)-1</f>
        <v>1</v>
      </c>
      <c r="AH40" s="76">
        <f>AI40+AJ40+AK40</f>
        <v>1</v>
      </c>
      <c r="AI40" s="76">
        <f>SUMPRODUCT(($AM$40:$AM$43=AM40)*($AP$40:$AP$43=AP40)*($AN$40:$AN$43&gt;AN40))</f>
        <v>0</v>
      </c>
      <c r="AJ40" s="76">
        <f>SUMPRODUCT(($AM$40:$AM$43=AM40)*($AP$40:$AP$43&gt;AP40))</f>
        <v>0</v>
      </c>
      <c r="AK40" s="76">
        <f>RANK(AM40,$AM$40:$AM$43)</f>
        <v>1</v>
      </c>
      <c r="AL40" s="95" t="s">
        <v>5</v>
      </c>
      <c r="AM40" s="76">
        <f>SUMIF($X$40:$X$45,$AL40,$Y$40:$Y$45)+SUMIF($AB$40:$AB$45,$AL40,$AC$40:$AC$45)</f>
        <v>0</v>
      </c>
      <c r="AN40" s="76">
        <f>SUMIF($X$40:$X$45,$AL40,$Z$40:$Z$45)+SUMIF($AB$40:$AB$45,$AL40,$AD$40:$AD$45)</f>
        <v>0</v>
      </c>
      <c r="AO40" s="76">
        <f>SUMIF($X$40:$X$45,$AL40,$AA$40:$AA$45)+SUMIF($AB$40:$AB$45,$AL40,$AE$40:$AE$45)</f>
        <v>0</v>
      </c>
      <c r="AP40" s="76">
        <f>AN40-AO40</f>
        <v>0</v>
      </c>
      <c r="AR40" s="76">
        <v>1</v>
      </c>
      <c r="AS40" s="76" t="str">
        <f>VLOOKUP($AR40,$AG$40:$AP$43,6,FALSE)</f>
        <v>Brasilien</v>
      </c>
      <c r="AT40" s="76">
        <f>VLOOKUP($AS40,$AL$40:$AP$43,2,FALSE)</f>
        <v>0</v>
      </c>
      <c r="AU40" s="76">
        <f>VLOOKUP($AS40,$AL$40:$AP$43,3,FALSE)</f>
        <v>0</v>
      </c>
      <c r="AV40" s="76">
        <f>VLOOKUP($AS40,$AL$40:$AP$43,4,FALSE)</f>
        <v>0</v>
      </c>
      <c r="AW40" s="76">
        <f>VLOOKUP($AS40,$AL$40:$AP$43,5,FALSE)</f>
        <v>0</v>
      </c>
      <c r="AX40" s="97">
        <v>9</v>
      </c>
      <c r="AY40" s="108">
        <v>41805.541666666664</v>
      </c>
      <c r="AZ40" s="99" t="s">
        <v>62</v>
      </c>
      <c r="BA40" s="100" t="s">
        <v>6</v>
      </c>
      <c r="BB40" s="101" t="s">
        <v>63</v>
      </c>
      <c r="BC40" s="171" t="e">
        <f>IF(G40=#REF!,2,0)</f>
        <v>#REF!</v>
      </c>
      <c r="BD40" s="65" t="s">
        <v>6</v>
      </c>
      <c r="BE40" s="171" t="e">
        <f>IF(I40=#REF!,2,0)</f>
        <v>#REF!</v>
      </c>
      <c r="BF40" s="102" t="e">
        <f>IF(J40=#REF!,2,0)</f>
        <v>#REF!</v>
      </c>
      <c r="BG40" s="103" t="e">
        <f t="shared" ref="BG40:BG45" si="82">SUM(BC40+BE40+BF40)</f>
        <v>#REF!</v>
      </c>
      <c r="BH40" s="104"/>
      <c r="BI40" s="78"/>
      <c r="BJ40" s="49"/>
      <c r="BK40" s="49"/>
      <c r="BL40" s="49"/>
      <c r="BM40" s="49"/>
      <c r="BO40" s="94">
        <v>37</v>
      </c>
      <c r="BP40" s="16"/>
      <c r="BQ40" s="179"/>
      <c r="BR40" s="184"/>
    </row>
    <row r="41" spans="2:70" ht="14.25" customHeight="1" x14ac:dyDescent="0.25">
      <c r="B41" s="16">
        <v>9</v>
      </c>
      <c r="C41" s="107">
        <v>43268</v>
      </c>
      <c r="D41" s="91" t="s">
        <v>5</v>
      </c>
      <c r="E41" s="92" t="s">
        <v>6</v>
      </c>
      <c r="F41" s="93" t="s">
        <v>62</v>
      </c>
      <c r="G41" s="63"/>
      <c r="H41" s="94" t="s">
        <v>6</v>
      </c>
      <c r="I41" s="63"/>
      <c r="J41" s="65" t="str">
        <f t="shared" ref="J41:J45" si="83">IF(OR(ISBLANK(G41),ISBLANK(I41)),"",IF(G41&gt;I41,1,IF(G41&lt;I41,2,"X")))</f>
        <v/>
      </c>
      <c r="K41" s="2">
        <v>2</v>
      </c>
      <c r="L41" s="17" t="str">
        <f>VLOOKUP(K41,$AR$40:$AW$43,2,FALSE)</f>
        <v>Schweiz</v>
      </c>
      <c r="M41" s="18">
        <f>VLOOKUP(L41,$AS$40:$AW$43,2,FALSE)</f>
        <v>0</v>
      </c>
      <c r="N41" s="18">
        <f>VLOOKUP(L41,$AS$40:$AW$43,3,FALSE)</f>
        <v>0</v>
      </c>
      <c r="O41" s="18">
        <f>VLOOKUP(L41,$AS$40:$AW$43,4,FALSE)</f>
        <v>0</v>
      </c>
      <c r="P41" s="19">
        <f>VLOOKUP(L41,$AS$40:$AW$43,5,FALSE)</f>
        <v>0</v>
      </c>
      <c r="X41" s="95" t="str">
        <f t="shared" ref="X41:X45" si="84">D41</f>
        <v>Brasilien</v>
      </c>
      <c r="Y41" s="96">
        <f t="shared" si="76"/>
        <v>0</v>
      </c>
      <c r="Z41" s="96">
        <f t="shared" si="77"/>
        <v>0</v>
      </c>
      <c r="AA41" s="96">
        <f t="shared" si="78"/>
        <v>0</v>
      </c>
      <c r="AB41" s="95" t="str">
        <f t="shared" ref="AB41:AB45" si="85">F41</f>
        <v>Schweiz</v>
      </c>
      <c r="AC41" s="96">
        <f t="shared" si="79"/>
        <v>0</v>
      </c>
      <c r="AD41" s="77">
        <f t="shared" si="80"/>
        <v>0</v>
      </c>
      <c r="AE41" s="77">
        <f t="shared" si="81"/>
        <v>0</v>
      </c>
      <c r="AG41" s="76">
        <f>RANK($AH41,$AH$40:$AH$43,1)+COUNTIF($AH$40:$AH41,$AH41)-1</f>
        <v>2</v>
      </c>
      <c r="AH41" s="76">
        <f>AI41+AJ41+AK41</f>
        <v>1</v>
      </c>
      <c r="AI41" s="76">
        <f t="shared" ref="AI41:AI43" si="86">SUMPRODUCT(($AM$40:$AM$43=AM41)*($AP$40:$AP$43=AP41)*($AN$40:$AN$43&gt;AN41))</f>
        <v>0</v>
      </c>
      <c r="AJ41" s="76">
        <f t="shared" ref="AJ41:AJ43" si="87">SUMPRODUCT(($AM$40:$AM$43=AM41)*($AP$40:$AP$43&gt;AP41))</f>
        <v>0</v>
      </c>
      <c r="AK41" s="76">
        <f t="shared" ref="AK41:AK43" si="88">RANK(AM41,$AM$40:$AM$43)</f>
        <v>1</v>
      </c>
      <c r="AL41" s="95" t="s">
        <v>62</v>
      </c>
      <c r="AM41" s="76">
        <f t="shared" ref="AM41:AM43" si="89">SUMIF($X$40:$X$45,$AL41,$Y$40:$Y$45)+SUMIF($AB$40:$AB$45,$AL41,$AC$40:$AC$45)</f>
        <v>0</v>
      </c>
      <c r="AN41" s="76">
        <f t="shared" ref="AN41:AN43" si="90">SUMIF($X$40:$X$45,$AL41,$Z$40:$Z$45)+SUMIF($AB$40:$AB$45,$AL41,$AD$40:$AD$45)</f>
        <v>0</v>
      </c>
      <c r="AO41" s="76">
        <f t="shared" ref="AO41:AO43" si="91">SUMIF($X$40:$X$45,$AL41,$AA$40:$AA$45)+SUMIF($AB$40:$AB$45,$AL41,$AE$40:$AE$45)</f>
        <v>0</v>
      </c>
      <c r="AP41" s="76">
        <f t="shared" ref="AP41:AP43" si="92">AN41-AO41</f>
        <v>0</v>
      </c>
      <c r="AR41" s="76">
        <v>2</v>
      </c>
      <c r="AS41" s="76" t="str">
        <f t="shared" ref="AS41:AS43" si="93">VLOOKUP($AR41,$AG$40:$AP$43,6,FALSE)</f>
        <v>Schweiz</v>
      </c>
      <c r="AT41" s="76">
        <f t="shared" ref="AT41:AT43" si="94">VLOOKUP($AS41,$AL$40:$AP$43,2,FALSE)</f>
        <v>0</v>
      </c>
      <c r="AU41" s="76">
        <f t="shared" ref="AU41:AU43" si="95">VLOOKUP($AS41,$AL$40:$AP$43,3,FALSE)</f>
        <v>0</v>
      </c>
      <c r="AV41" s="76">
        <f t="shared" ref="AV41:AV43" si="96">VLOOKUP($AS41,$AL$40:$AP$43,4,FALSE)</f>
        <v>0</v>
      </c>
      <c r="AW41" s="76">
        <f t="shared" ref="AW41:AW43" si="97">VLOOKUP($AS41,$AL$40:$AP$43,5,FALSE)</f>
        <v>0</v>
      </c>
      <c r="AX41" s="97">
        <v>10</v>
      </c>
      <c r="AY41" s="108">
        <v>41805.666666666664</v>
      </c>
      <c r="AZ41" s="99" t="s">
        <v>64</v>
      </c>
      <c r="BA41" s="100" t="s">
        <v>6</v>
      </c>
      <c r="BB41" s="101" t="s">
        <v>65</v>
      </c>
      <c r="BC41" s="171" t="e">
        <f>IF(G41=#REF!,2,0)</f>
        <v>#REF!</v>
      </c>
      <c r="BD41" s="65" t="s">
        <v>6</v>
      </c>
      <c r="BE41" s="171" t="e">
        <f>IF(I41=#REF!,2,0)</f>
        <v>#REF!</v>
      </c>
      <c r="BF41" s="102" t="e">
        <f>IF(J41=#REF!,2,0)</f>
        <v>#REF!</v>
      </c>
      <c r="BG41" s="103" t="e">
        <f t="shared" si="82"/>
        <v>#REF!</v>
      </c>
      <c r="BI41" s="78"/>
      <c r="BJ41" s="49"/>
      <c r="BK41" s="49"/>
      <c r="BL41" s="49"/>
      <c r="BM41" s="49"/>
      <c r="BO41" s="94">
        <v>38</v>
      </c>
      <c r="BP41" s="16"/>
      <c r="BQ41" s="179"/>
      <c r="BR41" s="184"/>
    </row>
    <row r="42" spans="2:70" ht="14.25" customHeight="1" x14ac:dyDescent="0.25">
      <c r="B42" s="16">
        <v>25</v>
      </c>
      <c r="C42" s="107">
        <v>43273</v>
      </c>
      <c r="D42" s="91" t="s">
        <v>5</v>
      </c>
      <c r="E42" s="92" t="s">
        <v>6</v>
      </c>
      <c r="F42" s="93" t="s">
        <v>56</v>
      </c>
      <c r="G42" s="63"/>
      <c r="H42" s="94" t="s">
        <v>6</v>
      </c>
      <c r="I42" s="63"/>
      <c r="J42" s="65" t="str">
        <f t="shared" si="83"/>
        <v/>
      </c>
      <c r="K42" s="2">
        <v>3</v>
      </c>
      <c r="L42" s="158" t="str">
        <f>VLOOKUP(K42,$AR$40:$AW$43,2,FALSE)</f>
        <v>Costa Rica</v>
      </c>
      <c r="M42" s="32">
        <f>VLOOKUP(L42,$AS$40:$AW$43,2,FALSE)</f>
        <v>0</v>
      </c>
      <c r="N42" s="32">
        <f>VLOOKUP(L42,$AS$40:$AW$43,3,FALSE)</f>
        <v>0</v>
      </c>
      <c r="O42" s="32">
        <f>VLOOKUP(L42,$AS$40:$AW$43,4,FALSE)</f>
        <v>0</v>
      </c>
      <c r="P42" s="33">
        <f>VLOOKUP(L42,$AS$40:$AW$43,5,FALSE)</f>
        <v>0</v>
      </c>
      <c r="X42" s="95" t="str">
        <f t="shared" si="84"/>
        <v>Brasilien</v>
      </c>
      <c r="Y42" s="96">
        <f t="shared" si="76"/>
        <v>0</v>
      </c>
      <c r="Z42" s="96">
        <f t="shared" si="77"/>
        <v>0</v>
      </c>
      <c r="AA42" s="96">
        <f t="shared" si="78"/>
        <v>0</v>
      </c>
      <c r="AB42" s="95" t="str">
        <f t="shared" si="85"/>
        <v>Costa Rica</v>
      </c>
      <c r="AC42" s="96">
        <f t="shared" si="79"/>
        <v>0</v>
      </c>
      <c r="AD42" s="77">
        <f t="shared" si="80"/>
        <v>0</v>
      </c>
      <c r="AE42" s="77">
        <f t="shared" si="81"/>
        <v>0</v>
      </c>
      <c r="AG42" s="76">
        <f>RANK($AH42,$AH$40:$AH$43,1)+COUNTIF($AH$40:$AH42,$AH42)-1</f>
        <v>3</v>
      </c>
      <c r="AH42" s="76">
        <f>AI42+AJ42+AK42</f>
        <v>1</v>
      </c>
      <c r="AI42" s="76">
        <f t="shared" si="86"/>
        <v>0</v>
      </c>
      <c r="AJ42" s="76">
        <f t="shared" si="87"/>
        <v>0</v>
      </c>
      <c r="AK42" s="76">
        <f t="shared" si="88"/>
        <v>1</v>
      </c>
      <c r="AL42" s="95" t="s">
        <v>56</v>
      </c>
      <c r="AM42" s="76">
        <f t="shared" si="89"/>
        <v>0</v>
      </c>
      <c r="AN42" s="76">
        <f t="shared" si="90"/>
        <v>0</v>
      </c>
      <c r="AO42" s="76">
        <f t="shared" si="91"/>
        <v>0</v>
      </c>
      <c r="AP42" s="76">
        <f t="shared" si="92"/>
        <v>0</v>
      </c>
      <c r="AR42" s="76">
        <v>3</v>
      </c>
      <c r="AS42" s="76" t="str">
        <f t="shared" si="93"/>
        <v>Costa Rica</v>
      </c>
      <c r="AT42" s="76">
        <f t="shared" si="94"/>
        <v>0</v>
      </c>
      <c r="AU42" s="76">
        <f t="shared" si="95"/>
        <v>0</v>
      </c>
      <c r="AV42" s="76">
        <f t="shared" si="96"/>
        <v>0</v>
      </c>
      <c r="AW42" s="76">
        <f t="shared" si="97"/>
        <v>0</v>
      </c>
      <c r="AX42" s="97">
        <v>25</v>
      </c>
      <c r="AY42" s="108">
        <v>41810.666666666664</v>
      </c>
      <c r="AZ42" s="99" t="s">
        <v>62</v>
      </c>
      <c r="BA42" s="100" t="s">
        <v>6</v>
      </c>
      <c r="BB42" s="101" t="s">
        <v>64</v>
      </c>
      <c r="BC42" s="171" t="e">
        <f>IF(G42=#REF!,2,0)</f>
        <v>#REF!</v>
      </c>
      <c r="BD42" s="65" t="s">
        <v>6</v>
      </c>
      <c r="BE42" s="171" t="e">
        <f>IF(I42=#REF!,2,0)</f>
        <v>#REF!</v>
      </c>
      <c r="BF42" s="102" t="e">
        <f>IF(J42=#REF!,2,0)</f>
        <v>#REF!</v>
      </c>
      <c r="BG42" s="103" t="e">
        <f t="shared" si="82"/>
        <v>#REF!</v>
      </c>
      <c r="BI42" s="45"/>
      <c r="BJ42" s="49"/>
      <c r="BK42" s="49"/>
      <c r="BL42" s="49"/>
      <c r="BM42" s="49"/>
      <c r="BO42" s="94">
        <v>39</v>
      </c>
      <c r="BP42" s="16"/>
      <c r="BQ42" s="179"/>
      <c r="BR42" s="184"/>
    </row>
    <row r="43" spans="2:70" ht="14.25" customHeight="1" x14ac:dyDescent="0.25">
      <c r="B43" s="16">
        <v>26</v>
      </c>
      <c r="C43" s="107">
        <v>43273</v>
      </c>
      <c r="D43" s="91" t="s">
        <v>170</v>
      </c>
      <c r="E43" s="92" t="s">
        <v>6</v>
      </c>
      <c r="F43" s="93" t="s">
        <v>62</v>
      </c>
      <c r="G43" s="63"/>
      <c r="H43" s="94" t="s">
        <v>6</v>
      </c>
      <c r="I43" s="63"/>
      <c r="J43" s="65" t="str">
        <f t="shared" si="83"/>
        <v/>
      </c>
      <c r="K43" s="2">
        <v>4</v>
      </c>
      <c r="L43" s="21" t="str">
        <f>VLOOKUP(K43,$AR$40:$AW$43,2,FALSE)</f>
        <v>Serbien</v>
      </c>
      <c r="M43" s="18">
        <f>VLOOKUP(L43,$AS$40:$AW$43,2,FALSE)</f>
        <v>0</v>
      </c>
      <c r="N43" s="18">
        <f>VLOOKUP(L43,$AS$40:$AW$43,3,FALSE)</f>
        <v>0</v>
      </c>
      <c r="O43" s="18">
        <f>VLOOKUP(L43,$AS$40:$AW$43,4,FALSE)</f>
        <v>0</v>
      </c>
      <c r="P43" s="19">
        <f>VLOOKUP(L43,$AS$40:$AW$43,5,FALSE)</f>
        <v>0</v>
      </c>
      <c r="S43" s="135"/>
      <c r="X43" s="95" t="str">
        <f t="shared" si="84"/>
        <v>Serbien</v>
      </c>
      <c r="Y43" s="96">
        <f t="shared" si="76"/>
        <v>0</v>
      </c>
      <c r="Z43" s="96">
        <f t="shared" si="77"/>
        <v>0</v>
      </c>
      <c r="AA43" s="96">
        <f t="shared" si="78"/>
        <v>0</v>
      </c>
      <c r="AB43" s="95" t="str">
        <f t="shared" si="85"/>
        <v>Schweiz</v>
      </c>
      <c r="AC43" s="96">
        <f t="shared" si="79"/>
        <v>0</v>
      </c>
      <c r="AD43" s="77">
        <f t="shared" si="80"/>
        <v>0</v>
      </c>
      <c r="AE43" s="77">
        <f t="shared" si="81"/>
        <v>0</v>
      </c>
      <c r="AG43" s="76">
        <f>RANK($AH43,$AH$40:$AH$43,1)+COUNTIF($AH$40:$AH43,$AH43)-1</f>
        <v>4</v>
      </c>
      <c r="AH43" s="76">
        <f>AI43+AJ43+AK43</f>
        <v>1</v>
      </c>
      <c r="AI43" s="76">
        <f t="shared" si="86"/>
        <v>0</v>
      </c>
      <c r="AJ43" s="76">
        <f t="shared" si="87"/>
        <v>0</v>
      </c>
      <c r="AK43" s="76">
        <f t="shared" si="88"/>
        <v>1</v>
      </c>
      <c r="AL43" s="95" t="s">
        <v>170</v>
      </c>
      <c r="AM43" s="76">
        <f t="shared" si="89"/>
        <v>0</v>
      </c>
      <c r="AN43" s="76">
        <f t="shared" si="90"/>
        <v>0</v>
      </c>
      <c r="AO43" s="76">
        <f t="shared" si="91"/>
        <v>0</v>
      </c>
      <c r="AP43" s="76">
        <f t="shared" si="92"/>
        <v>0</v>
      </c>
      <c r="AR43" s="76">
        <v>4</v>
      </c>
      <c r="AS43" s="76" t="str">
        <f t="shared" si="93"/>
        <v>Serbien</v>
      </c>
      <c r="AT43" s="76">
        <f t="shared" si="94"/>
        <v>0</v>
      </c>
      <c r="AU43" s="76">
        <f t="shared" si="95"/>
        <v>0</v>
      </c>
      <c r="AV43" s="76">
        <f t="shared" si="96"/>
        <v>0</v>
      </c>
      <c r="AW43" s="76">
        <f t="shared" si="97"/>
        <v>0</v>
      </c>
      <c r="AX43" s="97">
        <v>26</v>
      </c>
      <c r="AY43" s="108">
        <v>41810.791666666664</v>
      </c>
      <c r="AZ43" s="99" t="s">
        <v>65</v>
      </c>
      <c r="BA43" s="100" t="s">
        <v>6</v>
      </c>
      <c r="BB43" s="101" t="s">
        <v>63</v>
      </c>
      <c r="BC43" s="171" t="e">
        <f>IF(G43=#REF!,2,0)</f>
        <v>#REF!</v>
      </c>
      <c r="BD43" s="65" t="s">
        <v>6</v>
      </c>
      <c r="BE43" s="171" t="e">
        <f>IF(I43=#REF!,2,0)</f>
        <v>#REF!</v>
      </c>
      <c r="BF43" s="102" t="e">
        <f>IF(J43=#REF!,2,0)</f>
        <v>#REF!</v>
      </c>
      <c r="BG43" s="103" t="e">
        <f t="shared" si="82"/>
        <v>#REF!</v>
      </c>
      <c r="BI43" s="45"/>
      <c r="BJ43" s="49"/>
      <c r="BK43" s="49"/>
      <c r="BL43" s="49"/>
      <c r="BM43" s="49"/>
      <c r="BO43" s="94">
        <v>40</v>
      </c>
      <c r="BP43" s="16"/>
      <c r="BQ43" s="179"/>
      <c r="BR43" s="184"/>
    </row>
    <row r="44" spans="2:70" ht="14.25" customHeight="1" x14ac:dyDescent="0.25">
      <c r="B44" s="16">
        <v>41</v>
      </c>
      <c r="C44" s="107">
        <v>43278</v>
      </c>
      <c r="D44" s="91" t="s">
        <v>170</v>
      </c>
      <c r="E44" s="92" t="s">
        <v>6</v>
      </c>
      <c r="F44" s="93" t="s">
        <v>5</v>
      </c>
      <c r="G44" s="63"/>
      <c r="H44" s="94" t="s">
        <v>6</v>
      </c>
      <c r="I44" s="63"/>
      <c r="J44" s="65" t="str">
        <f t="shared" si="83"/>
        <v/>
      </c>
      <c r="L44" s="4"/>
      <c r="M44" s="32"/>
      <c r="N44" s="32"/>
      <c r="O44" s="32"/>
      <c r="P44" s="32"/>
      <c r="X44" s="95" t="str">
        <f t="shared" si="84"/>
        <v>Serbien</v>
      </c>
      <c r="Y44" s="96">
        <f t="shared" si="76"/>
        <v>0</v>
      </c>
      <c r="Z44" s="96">
        <f t="shared" si="77"/>
        <v>0</v>
      </c>
      <c r="AA44" s="96">
        <f t="shared" si="78"/>
        <v>0</v>
      </c>
      <c r="AB44" s="95" t="str">
        <f t="shared" si="85"/>
        <v>Brasilien</v>
      </c>
      <c r="AC44" s="96">
        <f t="shared" si="79"/>
        <v>0</v>
      </c>
      <c r="AD44" s="77">
        <f t="shared" si="80"/>
        <v>0</v>
      </c>
      <c r="AE44" s="77">
        <f t="shared" si="81"/>
        <v>0</v>
      </c>
      <c r="AX44" s="97">
        <v>41</v>
      </c>
      <c r="AY44" s="108">
        <v>41815.666666666664</v>
      </c>
      <c r="AZ44" s="99" t="s">
        <v>65</v>
      </c>
      <c r="BA44" s="100" t="s">
        <v>6</v>
      </c>
      <c r="BB44" s="101" t="s">
        <v>62</v>
      </c>
      <c r="BC44" s="171" t="e">
        <f>IF(G44=#REF!,2,0)</f>
        <v>#REF!</v>
      </c>
      <c r="BD44" s="65" t="s">
        <v>6</v>
      </c>
      <c r="BE44" s="171" t="e">
        <f>IF(I44=#REF!,2,0)</f>
        <v>#REF!</v>
      </c>
      <c r="BF44" s="102" t="e">
        <f>IF(J44=#REF!,2,0)</f>
        <v>#REF!</v>
      </c>
      <c r="BG44" s="103" t="e">
        <f t="shared" si="82"/>
        <v>#REF!</v>
      </c>
      <c r="BJ44" s="49"/>
      <c r="BK44" s="49"/>
      <c r="BL44" s="49"/>
      <c r="BM44" s="49"/>
      <c r="BO44" s="94">
        <v>41</v>
      </c>
      <c r="BP44" s="16"/>
      <c r="BQ44" s="179"/>
      <c r="BR44" s="184"/>
    </row>
    <row r="45" spans="2:70" ht="14.25" customHeight="1" x14ac:dyDescent="0.25">
      <c r="B45" s="16">
        <v>42</v>
      </c>
      <c r="C45" s="107">
        <v>43278</v>
      </c>
      <c r="D45" s="91" t="s">
        <v>62</v>
      </c>
      <c r="E45" s="92" t="s">
        <v>6</v>
      </c>
      <c r="F45" s="93" t="s">
        <v>56</v>
      </c>
      <c r="G45" s="63"/>
      <c r="H45" s="94" t="s">
        <v>6</v>
      </c>
      <c r="I45" s="63"/>
      <c r="J45" s="65" t="str">
        <f t="shared" si="83"/>
        <v/>
      </c>
      <c r="L45" s="4"/>
      <c r="M45" s="32"/>
      <c r="N45" s="32"/>
      <c r="O45" s="32"/>
      <c r="P45" s="32"/>
      <c r="X45" s="95" t="str">
        <f t="shared" si="84"/>
        <v>Schweiz</v>
      </c>
      <c r="Y45" s="96">
        <f t="shared" si="76"/>
        <v>0</v>
      </c>
      <c r="Z45" s="96">
        <f t="shared" si="77"/>
        <v>0</v>
      </c>
      <c r="AA45" s="96">
        <f t="shared" si="78"/>
        <v>0</v>
      </c>
      <c r="AB45" s="95" t="str">
        <f t="shared" si="85"/>
        <v>Costa Rica</v>
      </c>
      <c r="AC45" s="96">
        <f t="shared" si="79"/>
        <v>0</v>
      </c>
      <c r="AD45" s="77">
        <f t="shared" si="80"/>
        <v>0</v>
      </c>
      <c r="AE45" s="77">
        <f t="shared" si="81"/>
        <v>0</v>
      </c>
      <c r="AX45" s="97">
        <v>42</v>
      </c>
      <c r="AY45" s="108">
        <v>41815.708333333336</v>
      </c>
      <c r="AZ45" s="99" t="s">
        <v>63</v>
      </c>
      <c r="BA45" s="100" t="s">
        <v>6</v>
      </c>
      <c r="BB45" s="101" t="s">
        <v>64</v>
      </c>
      <c r="BC45" s="171" t="e">
        <f>IF(G45=#REF!,2,0)</f>
        <v>#REF!</v>
      </c>
      <c r="BD45" s="65" t="s">
        <v>6</v>
      </c>
      <c r="BE45" s="171" t="e">
        <f>IF(I45=#REF!,2,0)</f>
        <v>#REF!</v>
      </c>
      <c r="BF45" s="102" t="e">
        <f>IF(J45=#REF!,2,0)</f>
        <v>#REF!</v>
      </c>
      <c r="BG45" s="103" t="e">
        <f t="shared" si="82"/>
        <v>#REF!</v>
      </c>
      <c r="BJ45" s="49"/>
      <c r="BK45" s="49"/>
      <c r="BL45" s="49"/>
      <c r="BM45" s="49"/>
      <c r="BO45" s="94">
        <v>42</v>
      </c>
      <c r="BP45" s="16"/>
      <c r="BQ45" s="179"/>
      <c r="BR45" s="184"/>
    </row>
    <row r="46" spans="2:70" ht="14.25" customHeight="1" x14ac:dyDescent="0.25">
      <c r="C46" s="38"/>
      <c r="J46" s="24"/>
      <c r="M46" s="23"/>
      <c r="N46" s="35"/>
      <c r="O46" s="23"/>
      <c r="P46" s="23"/>
      <c r="AY46" s="41"/>
      <c r="BG46" s="119"/>
      <c r="BJ46" s="49"/>
      <c r="BK46" s="46"/>
      <c r="BL46" s="49"/>
      <c r="BM46" s="49"/>
      <c r="BO46" s="94">
        <v>43</v>
      </c>
      <c r="BP46" s="16"/>
      <c r="BQ46" s="179"/>
      <c r="BR46" s="184"/>
    </row>
    <row r="47" spans="2:70" s="26" customFormat="1" ht="14.25" customHeight="1" x14ac:dyDescent="0.25">
      <c r="B47" s="6" t="s">
        <v>66</v>
      </c>
      <c r="C47" s="120"/>
      <c r="D47" s="135"/>
      <c r="E47" s="27"/>
      <c r="F47" s="135"/>
      <c r="G47" s="27"/>
      <c r="H47" s="27"/>
      <c r="I47" s="27"/>
      <c r="J47" s="24"/>
      <c r="K47" s="25"/>
      <c r="M47" s="27"/>
      <c r="N47" s="36"/>
      <c r="O47" s="27"/>
      <c r="P47" s="27"/>
      <c r="R47" s="27"/>
      <c r="S47" s="27"/>
      <c r="T47" s="27"/>
      <c r="U47" s="27"/>
      <c r="V47" s="141"/>
      <c r="X47" s="74"/>
      <c r="Y47" s="96"/>
      <c r="Z47" s="96"/>
      <c r="AA47" s="96"/>
      <c r="AB47" s="74"/>
      <c r="AC47" s="123"/>
      <c r="AD47" s="124"/>
      <c r="AE47" s="124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78" t="s">
        <v>66</v>
      </c>
      <c r="AY47" s="125"/>
      <c r="AZ47" s="79"/>
      <c r="BA47" s="80"/>
      <c r="BB47" s="79"/>
      <c r="BC47" s="80"/>
      <c r="BD47" s="80"/>
      <c r="BE47" s="80"/>
      <c r="BF47" s="80"/>
      <c r="BG47" s="24"/>
      <c r="BH47" s="127"/>
      <c r="BI47" s="1"/>
      <c r="BJ47" s="24"/>
      <c r="BK47" s="142"/>
      <c r="BL47" s="24"/>
      <c r="BM47" s="24"/>
      <c r="BO47" s="94">
        <v>44</v>
      </c>
      <c r="BP47" s="16"/>
      <c r="BQ47" s="179"/>
      <c r="BR47" s="184"/>
    </row>
    <row r="48" spans="2:70" s="26" customFormat="1" ht="14.25" customHeight="1" x14ac:dyDescent="0.25">
      <c r="B48" s="137" t="s">
        <v>2</v>
      </c>
      <c r="C48" s="129" t="s">
        <v>3</v>
      </c>
      <c r="D48" s="187" t="s">
        <v>2</v>
      </c>
      <c r="E48" s="188"/>
      <c r="F48" s="189"/>
      <c r="G48" s="188" t="s">
        <v>4</v>
      </c>
      <c r="H48" s="188"/>
      <c r="I48" s="188"/>
      <c r="J48" s="28" t="s">
        <v>81</v>
      </c>
      <c r="K48" s="25"/>
      <c r="L48" s="8" t="s">
        <v>66</v>
      </c>
      <c r="M48" s="9" t="s">
        <v>89</v>
      </c>
      <c r="N48" s="9" t="s">
        <v>90</v>
      </c>
      <c r="O48" s="9" t="s">
        <v>91</v>
      </c>
      <c r="P48" s="10" t="s">
        <v>101</v>
      </c>
      <c r="R48" s="27"/>
      <c r="S48" s="27"/>
      <c r="T48" s="27"/>
      <c r="U48" s="27"/>
      <c r="V48" s="141"/>
      <c r="X48" s="85" t="s">
        <v>87</v>
      </c>
      <c r="Y48" s="85" t="s">
        <v>89</v>
      </c>
      <c r="Z48" s="85" t="s">
        <v>90</v>
      </c>
      <c r="AA48" s="85" t="s">
        <v>91</v>
      </c>
      <c r="AB48" s="85" t="s">
        <v>88</v>
      </c>
      <c r="AC48" s="85" t="s">
        <v>89</v>
      </c>
      <c r="AD48" s="85" t="s">
        <v>90</v>
      </c>
      <c r="AE48" s="85" t="s">
        <v>91</v>
      </c>
      <c r="AF48" s="123"/>
      <c r="AG48" s="86" t="s">
        <v>99</v>
      </c>
      <c r="AH48" s="86" t="s">
        <v>98</v>
      </c>
      <c r="AI48" s="86" t="s">
        <v>97</v>
      </c>
      <c r="AJ48" s="85" t="s">
        <v>96</v>
      </c>
      <c r="AK48" s="85" t="s">
        <v>95</v>
      </c>
      <c r="AL48" s="85" t="s">
        <v>92</v>
      </c>
      <c r="AM48" s="85" t="s">
        <v>89</v>
      </c>
      <c r="AN48" s="85" t="s">
        <v>90</v>
      </c>
      <c r="AO48" s="85" t="s">
        <v>91</v>
      </c>
      <c r="AP48" s="86" t="s">
        <v>93</v>
      </c>
      <c r="AQ48" s="123"/>
      <c r="AR48" s="85" t="s">
        <v>94</v>
      </c>
      <c r="AS48" s="85" t="s">
        <v>92</v>
      </c>
      <c r="AT48" s="85" t="s">
        <v>89</v>
      </c>
      <c r="AU48" s="85" t="s">
        <v>90</v>
      </c>
      <c r="AV48" s="85" t="s">
        <v>91</v>
      </c>
      <c r="AW48" s="86" t="s">
        <v>93</v>
      </c>
      <c r="AX48" s="139" t="s">
        <v>2</v>
      </c>
      <c r="AY48" s="131" t="s">
        <v>3</v>
      </c>
      <c r="AZ48" s="143" t="s">
        <v>2</v>
      </c>
      <c r="BA48" s="69"/>
      <c r="BB48" s="144"/>
      <c r="BC48" s="191" t="s">
        <v>4</v>
      </c>
      <c r="BD48" s="191"/>
      <c r="BE48" s="191"/>
      <c r="BF48" s="69" t="s">
        <v>81</v>
      </c>
      <c r="BG48" s="28" t="s">
        <v>89</v>
      </c>
      <c r="BH48" s="127"/>
      <c r="BI48" s="132"/>
      <c r="BJ48" s="24"/>
      <c r="BK48" s="24"/>
      <c r="BL48" s="24"/>
      <c r="BM48" s="24"/>
      <c r="BO48" s="94">
        <v>45</v>
      </c>
      <c r="BP48" s="16"/>
      <c r="BQ48" s="179"/>
      <c r="BR48" s="184"/>
    </row>
    <row r="49" spans="2:70" ht="14.25" customHeight="1" x14ac:dyDescent="0.25">
      <c r="B49" s="16">
        <v>11</v>
      </c>
      <c r="C49" s="107">
        <v>43268</v>
      </c>
      <c r="D49" s="91" t="s">
        <v>72</v>
      </c>
      <c r="E49" s="92" t="s">
        <v>6</v>
      </c>
      <c r="F49" s="93" t="s">
        <v>171</v>
      </c>
      <c r="G49" s="63"/>
      <c r="H49" s="94" t="s">
        <v>6</v>
      </c>
      <c r="I49" s="63"/>
      <c r="J49" s="65" t="str">
        <f>IF(OR(ISBLANK(G49),ISBLANK(I49)),"",IF(G49&gt;I49,1,IF(G49&lt;I49,2,"X")))</f>
        <v/>
      </c>
      <c r="K49" s="12">
        <v>1</v>
      </c>
      <c r="L49" s="13" t="str">
        <f>VLOOKUP(K49,$AR$49:$AW$52,2,FALSE)</f>
        <v>Tyskland</v>
      </c>
      <c r="M49" s="14">
        <f>VLOOKUP(L49,$AS$49:$AW$52,2,FALSE)</f>
        <v>0</v>
      </c>
      <c r="N49" s="14">
        <f>VLOOKUP(L49,$AS$49:$AW$52,3,FALSE)</f>
        <v>0</v>
      </c>
      <c r="O49" s="14">
        <f>VLOOKUP(L49,$AS$49:$AW$52,4,FALSE)</f>
        <v>0</v>
      </c>
      <c r="P49" s="15">
        <f>VLOOKUP(L49,$AS$49:$AW$52,5,FALSE)</f>
        <v>0</v>
      </c>
      <c r="X49" s="95" t="str">
        <f>D49</f>
        <v>Tyskland</v>
      </c>
      <c r="Y49" s="96">
        <f t="shared" ref="Y49:Y54" si="98">IF(G49="",0,IF($G49&lt;$I49,0,IF($G49=$I49,1,3)))</f>
        <v>0</v>
      </c>
      <c r="Z49" s="96">
        <f t="shared" ref="Z49:Z54" si="99">G49</f>
        <v>0</v>
      </c>
      <c r="AA49" s="96">
        <f t="shared" ref="AA49:AA54" si="100">I49</f>
        <v>0</v>
      </c>
      <c r="AB49" s="95" t="str">
        <f>F49</f>
        <v>Mexico</v>
      </c>
      <c r="AC49" s="96">
        <f t="shared" ref="AC49:AC54" si="101">IF(I49="",0,IF(I49&lt;G49,0,IF(I49=G49,1,3)))</f>
        <v>0</v>
      </c>
      <c r="AD49" s="77">
        <f t="shared" ref="AD49:AD54" si="102">I49</f>
        <v>0</v>
      </c>
      <c r="AE49" s="77">
        <f t="shared" ref="AE49:AE54" si="103">G49</f>
        <v>0</v>
      </c>
      <c r="AG49" s="76">
        <f>RANK($AH49,$AH$49:$AH$52,1)+COUNTIF($AH$49:$AH49,$AH49)-1</f>
        <v>1</v>
      </c>
      <c r="AH49" s="76">
        <f>AI49+AJ49+AK49</f>
        <v>1</v>
      </c>
      <c r="AI49" s="76">
        <f>SUMPRODUCT(($AM$49:$AM$52=AM49)*($AP$49:$AP$52=AP49)*($AN$49:$AN$52&gt;AN49))</f>
        <v>0</v>
      </c>
      <c r="AJ49" s="76">
        <f>SUMPRODUCT(($AM$49:$AM$52=AM49)*($AP$49:$AP$52&gt;AP49))</f>
        <v>0</v>
      </c>
      <c r="AK49" s="76">
        <f>RANK(AM49,$AM$49:$AM$52)</f>
        <v>1</v>
      </c>
      <c r="AL49" s="95" t="s">
        <v>72</v>
      </c>
      <c r="AM49" s="76">
        <f>SUMIF($X$49:$X$54,$AL49,$Y$49:$Y$54)+SUMIF($AB$49:$AB$54,$AL49,$AC$49:$AC$54)</f>
        <v>0</v>
      </c>
      <c r="AN49" s="76">
        <f>SUMIF($X$49:$X$54,$AL49,$Z$49:$Z$54)+SUMIF($AB$49:$AB$54,$AL49,$AD$49:$AD$54)</f>
        <v>0</v>
      </c>
      <c r="AO49" s="76">
        <f>SUMIF($X$49:$X$54,$AL49,$AA$49:$AA$54)+SUMIF($AB$49:$AB$54,$AL49,$AE$49:$AE$54)</f>
        <v>0</v>
      </c>
      <c r="AP49" s="76">
        <f>AN49-AO49</f>
        <v>0</v>
      </c>
      <c r="AR49" s="76">
        <v>1</v>
      </c>
      <c r="AS49" s="76" t="str">
        <f>VLOOKUP($AR49,$AG$49:$AP$52,6,FALSE)</f>
        <v>Tyskland</v>
      </c>
      <c r="AT49" s="76">
        <f>VLOOKUP($AS49,$AL$49:$AP$52,2,FALSE)</f>
        <v>0</v>
      </c>
      <c r="AU49" s="76">
        <f>VLOOKUP($AS49,$AL$49:$AP$52,3,FALSE)</f>
        <v>0</v>
      </c>
      <c r="AV49" s="76">
        <f>VLOOKUP($AS49,$AL$49:$AP$52,4,FALSE)</f>
        <v>0</v>
      </c>
      <c r="AW49" s="76">
        <f>VLOOKUP($AS49,$AL$49:$AP$52,5,FALSE)</f>
        <v>0</v>
      </c>
      <c r="AX49" s="97">
        <v>11</v>
      </c>
      <c r="AY49" s="108">
        <v>41805.791666666664</v>
      </c>
      <c r="AZ49" s="99" t="s">
        <v>67</v>
      </c>
      <c r="BA49" s="100" t="s">
        <v>6</v>
      </c>
      <c r="BB49" s="101" t="s">
        <v>68</v>
      </c>
      <c r="BC49" s="171" t="e">
        <f>IF(G49=#REF!,2,0)</f>
        <v>#REF!</v>
      </c>
      <c r="BD49" s="65" t="s">
        <v>6</v>
      </c>
      <c r="BE49" s="171" t="e">
        <f>IF(I49=#REF!,2,0)</f>
        <v>#REF!</v>
      </c>
      <c r="BF49" s="102" t="e">
        <f>IF(J49=#REF!,2,0)</f>
        <v>#REF!</v>
      </c>
      <c r="BG49" s="103" t="e">
        <f t="shared" ref="BG49:BG54" si="104">SUM(BC49+BE49+BF49)</f>
        <v>#REF!</v>
      </c>
      <c r="BH49" s="104"/>
      <c r="BI49" s="78"/>
      <c r="BJ49" s="49"/>
      <c r="BK49" s="49"/>
      <c r="BL49" s="49"/>
      <c r="BM49" s="49"/>
      <c r="BO49" s="94">
        <v>46</v>
      </c>
      <c r="BP49" s="16"/>
      <c r="BQ49" s="179"/>
      <c r="BR49" s="184"/>
    </row>
    <row r="50" spans="2:70" ht="14.25" customHeight="1" x14ac:dyDescent="0.25">
      <c r="B50" s="16">
        <v>12</v>
      </c>
      <c r="C50" s="107">
        <v>43269</v>
      </c>
      <c r="D50" s="91" t="s">
        <v>172</v>
      </c>
      <c r="E50" s="92" t="s">
        <v>6</v>
      </c>
      <c r="F50" s="93" t="s">
        <v>80</v>
      </c>
      <c r="G50" s="63"/>
      <c r="H50" s="94" t="s">
        <v>6</v>
      </c>
      <c r="I50" s="63"/>
      <c r="J50" s="65" t="str">
        <f t="shared" ref="J50:J54" si="105">IF(OR(ISBLANK(G50),ISBLANK(I50)),"",IF(G50&gt;I50,1,IF(G50&lt;I50,2,"X")))</f>
        <v/>
      </c>
      <c r="K50" s="2">
        <v>2</v>
      </c>
      <c r="L50" s="17" t="str">
        <f>VLOOKUP(K50,$AR$49:$AW$52,2,FALSE)</f>
        <v>Mexico</v>
      </c>
      <c r="M50" s="18">
        <f>VLOOKUP(L50,$AS$49:$AW$52,2,FALSE)</f>
        <v>0</v>
      </c>
      <c r="N50" s="18">
        <f>VLOOKUP(L50,$AS$49:$AW$52,3,FALSE)</f>
        <v>0</v>
      </c>
      <c r="O50" s="18">
        <f>VLOOKUP(L50,$AS$49:$AW$52,4,FALSE)</f>
        <v>0</v>
      </c>
      <c r="P50" s="19">
        <f>VLOOKUP(L50,$AS$49:$AW$52,5,FALSE)</f>
        <v>0</v>
      </c>
      <c r="X50" s="95" t="str">
        <f t="shared" ref="X50:X54" si="106">D50</f>
        <v>Sverige</v>
      </c>
      <c r="Y50" s="96">
        <f t="shared" si="98"/>
        <v>0</v>
      </c>
      <c r="Z50" s="96">
        <f t="shared" si="99"/>
        <v>0</v>
      </c>
      <c r="AA50" s="96">
        <f t="shared" si="100"/>
        <v>0</v>
      </c>
      <c r="AB50" s="95" t="str">
        <f t="shared" ref="AB50:AB54" si="107">F50</f>
        <v>Sydkorea</v>
      </c>
      <c r="AC50" s="96">
        <f t="shared" si="101"/>
        <v>0</v>
      </c>
      <c r="AD50" s="77">
        <f t="shared" si="102"/>
        <v>0</v>
      </c>
      <c r="AE50" s="77">
        <f t="shared" si="103"/>
        <v>0</v>
      </c>
      <c r="AG50" s="76">
        <f>RANK($AH50,$AH$49:$AH$52,1)+COUNTIF($AH$49:$AH50,$AH50)-1</f>
        <v>2</v>
      </c>
      <c r="AH50" s="76">
        <f>AI50+AJ50+AK50</f>
        <v>1</v>
      </c>
      <c r="AI50" s="76">
        <f t="shared" ref="AI50:AI52" si="108">SUMPRODUCT(($AM$49:$AM$52=AM50)*($AP$49:$AP$52=AP50)*($AN$49:$AN$52&gt;AN50))</f>
        <v>0</v>
      </c>
      <c r="AJ50" s="76">
        <f t="shared" ref="AJ50:AJ52" si="109">SUMPRODUCT(($AM$49:$AM$52=AM50)*($AP$49:$AP$52&gt;AP50))</f>
        <v>0</v>
      </c>
      <c r="AK50" s="76">
        <f t="shared" ref="AK50:AK52" si="110">RANK(AM50,$AM$49:$AM$52)</f>
        <v>1</v>
      </c>
      <c r="AL50" s="95" t="s">
        <v>171</v>
      </c>
      <c r="AM50" s="76">
        <f t="shared" ref="AM50:AM52" si="111">SUMIF($X$49:$X$54,$AL50,$Y$49:$Y$54)+SUMIF($AB$49:$AB$54,$AL50,$AC$49:$AC$54)</f>
        <v>0</v>
      </c>
      <c r="AN50" s="76">
        <f t="shared" ref="AN50:AN52" si="112">SUMIF($X$49:$X$54,$AL50,$Z$49:$Z$54)+SUMIF($AB$49:$AB$54,$AL50,$AD$49:$AD$54)</f>
        <v>0</v>
      </c>
      <c r="AO50" s="76">
        <f t="shared" ref="AO50:AO52" si="113">SUMIF($X$49:$X$54,$AL50,$AA$49:$AA$54)+SUMIF($AB$49:$AB$54,$AL50,$AE$49:$AE$54)</f>
        <v>0</v>
      </c>
      <c r="AP50" s="76">
        <f t="shared" ref="AP50:AP52" si="114">AN50-AO50</f>
        <v>0</v>
      </c>
      <c r="AR50" s="76">
        <v>2</v>
      </c>
      <c r="AS50" s="76" t="str">
        <f t="shared" ref="AS50:AS52" si="115">VLOOKUP($AR50,$AG$49:$AP$52,6,FALSE)</f>
        <v>Mexico</v>
      </c>
      <c r="AT50" s="76">
        <f t="shared" ref="AT50:AT52" si="116">VLOOKUP($AS50,$AL$49:$AP$52,2,FALSE)</f>
        <v>0</v>
      </c>
      <c r="AU50" s="76">
        <f t="shared" ref="AU50:AU52" si="117">VLOOKUP($AS50,$AL$49:$AP$52,3,FALSE)</f>
        <v>0</v>
      </c>
      <c r="AV50" s="76">
        <f t="shared" ref="AV50:AV52" si="118">VLOOKUP($AS50,$AL$49:$AP$52,4,FALSE)</f>
        <v>0</v>
      </c>
      <c r="AW50" s="76">
        <f t="shared" ref="AW50:AW52" si="119">VLOOKUP($AS50,$AL$49:$AP$52,5,FALSE)</f>
        <v>0</v>
      </c>
      <c r="AX50" s="97">
        <v>12</v>
      </c>
      <c r="AY50" s="108">
        <v>41806.666666666664</v>
      </c>
      <c r="AZ50" s="99" t="s">
        <v>69</v>
      </c>
      <c r="BA50" s="100" t="s">
        <v>6</v>
      </c>
      <c r="BB50" s="101" t="s">
        <v>70</v>
      </c>
      <c r="BC50" s="171" t="e">
        <f>IF(G50=#REF!,2,0)</f>
        <v>#REF!</v>
      </c>
      <c r="BD50" s="65" t="s">
        <v>6</v>
      </c>
      <c r="BE50" s="171" t="e">
        <f>IF(I50=#REF!,2,0)</f>
        <v>#REF!</v>
      </c>
      <c r="BF50" s="102" t="e">
        <f>IF(J50=#REF!,2,0)</f>
        <v>#REF!</v>
      </c>
      <c r="BG50" s="103" t="e">
        <f t="shared" si="104"/>
        <v>#REF!</v>
      </c>
      <c r="BI50" s="78"/>
      <c r="BJ50" s="49"/>
      <c r="BK50" s="49"/>
      <c r="BL50" s="49"/>
      <c r="BM50" s="49"/>
      <c r="BO50" s="94">
        <v>47</v>
      </c>
      <c r="BP50" s="16"/>
      <c r="BQ50" s="179"/>
      <c r="BR50" s="184"/>
    </row>
    <row r="51" spans="2:70" ht="14.25" customHeight="1" x14ac:dyDescent="0.25">
      <c r="B51" s="16">
        <v>28</v>
      </c>
      <c r="C51" s="107">
        <v>43274</v>
      </c>
      <c r="D51" s="91" t="s">
        <v>80</v>
      </c>
      <c r="E51" s="92" t="s">
        <v>6</v>
      </c>
      <c r="F51" s="93" t="s">
        <v>171</v>
      </c>
      <c r="G51" s="63"/>
      <c r="H51" s="94" t="s">
        <v>6</v>
      </c>
      <c r="I51" s="63"/>
      <c r="J51" s="65" t="str">
        <f t="shared" si="105"/>
        <v/>
      </c>
      <c r="K51" s="2">
        <v>3</v>
      </c>
      <c r="L51" s="158" t="str">
        <f>VLOOKUP(K51,$AR$49:$AW$52,2,FALSE)</f>
        <v>Sverige</v>
      </c>
      <c r="M51" s="32">
        <f>VLOOKUP(L51,$AS$49:$AW$52,2,FALSE)</f>
        <v>0</v>
      </c>
      <c r="N51" s="32">
        <f>VLOOKUP(L51,$AS$49:$AW$52,3,FALSE)</f>
        <v>0</v>
      </c>
      <c r="O51" s="32">
        <f>VLOOKUP(L51,$AS$49:$AW$52,4,FALSE)</f>
        <v>0</v>
      </c>
      <c r="P51" s="33">
        <f>VLOOKUP(L51,$AS$49:$AW$52,5,FALSE)</f>
        <v>0</v>
      </c>
      <c r="X51" s="95" t="str">
        <f t="shared" si="106"/>
        <v>Sydkorea</v>
      </c>
      <c r="Y51" s="96">
        <f t="shared" si="98"/>
        <v>0</v>
      </c>
      <c r="Z51" s="96">
        <f t="shared" si="99"/>
        <v>0</v>
      </c>
      <c r="AA51" s="96">
        <f t="shared" si="100"/>
        <v>0</v>
      </c>
      <c r="AB51" s="95" t="str">
        <f t="shared" si="107"/>
        <v>Mexico</v>
      </c>
      <c r="AC51" s="96">
        <f t="shared" si="101"/>
        <v>0</v>
      </c>
      <c r="AD51" s="77">
        <f t="shared" si="102"/>
        <v>0</v>
      </c>
      <c r="AE51" s="77">
        <f t="shared" si="103"/>
        <v>0</v>
      </c>
      <c r="AG51" s="76">
        <f>RANK($AH51,$AH$49:$AH$52,1)+COUNTIF($AH$49:$AH51,$AH51)-1</f>
        <v>3</v>
      </c>
      <c r="AH51" s="76">
        <f>AI51+AJ51+AK51</f>
        <v>1</v>
      </c>
      <c r="AI51" s="76">
        <f t="shared" si="108"/>
        <v>0</v>
      </c>
      <c r="AJ51" s="76">
        <f t="shared" si="109"/>
        <v>0</v>
      </c>
      <c r="AK51" s="76">
        <f t="shared" si="110"/>
        <v>1</v>
      </c>
      <c r="AL51" s="95" t="s">
        <v>172</v>
      </c>
      <c r="AM51" s="76">
        <f t="shared" si="111"/>
        <v>0</v>
      </c>
      <c r="AN51" s="76">
        <f t="shared" si="112"/>
        <v>0</v>
      </c>
      <c r="AO51" s="76">
        <f t="shared" si="113"/>
        <v>0</v>
      </c>
      <c r="AP51" s="76">
        <f t="shared" si="114"/>
        <v>0</v>
      </c>
      <c r="AR51" s="76">
        <v>3</v>
      </c>
      <c r="AS51" s="76" t="str">
        <f t="shared" si="115"/>
        <v>Sverige</v>
      </c>
      <c r="AT51" s="76">
        <f t="shared" si="116"/>
        <v>0</v>
      </c>
      <c r="AU51" s="76">
        <f t="shared" si="117"/>
        <v>0</v>
      </c>
      <c r="AV51" s="76">
        <f t="shared" si="118"/>
        <v>0</v>
      </c>
      <c r="AW51" s="76">
        <f t="shared" si="119"/>
        <v>0</v>
      </c>
      <c r="AX51" s="97">
        <v>27</v>
      </c>
      <c r="AY51" s="108">
        <v>41811.541666666664</v>
      </c>
      <c r="AZ51" s="99" t="s">
        <v>67</v>
      </c>
      <c r="BA51" s="100" t="s">
        <v>6</v>
      </c>
      <c r="BB51" s="101" t="s">
        <v>69</v>
      </c>
      <c r="BC51" s="171" t="e">
        <f>IF(G51=#REF!,2,0)</f>
        <v>#REF!</v>
      </c>
      <c r="BD51" s="65" t="s">
        <v>6</v>
      </c>
      <c r="BE51" s="171" t="e">
        <f>IF(I51=#REF!,2,0)</f>
        <v>#REF!</v>
      </c>
      <c r="BF51" s="102" t="e">
        <f>IF(J51=#REF!,2,0)</f>
        <v>#REF!</v>
      </c>
      <c r="BG51" s="103" t="e">
        <f t="shared" si="104"/>
        <v>#REF!</v>
      </c>
      <c r="BI51" s="45"/>
      <c r="BJ51" s="49"/>
      <c r="BK51" s="49"/>
      <c r="BL51" s="49"/>
      <c r="BM51" s="49"/>
      <c r="BO51" s="94">
        <v>48</v>
      </c>
      <c r="BP51" s="16"/>
      <c r="BQ51" s="179"/>
      <c r="BR51" s="184"/>
    </row>
    <row r="52" spans="2:70" ht="14.25" customHeight="1" x14ac:dyDescent="0.25">
      <c r="B52" s="16">
        <v>27</v>
      </c>
      <c r="C52" s="107">
        <v>43274</v>
      </c>
      <c r="D52" s="91" t="s">
        <v>72</v>
      </c>
      <c r="E52" s="92" t="s">
        <v>6</v>
      </c>
      <c r="F52" s="93" t="s">
        <v>172</v>
      </c>
      <c r="G52" s="63"/>
      <c r="H52" s="94" t="s">
        <v>6</v>
      </c>
      <c r="I52" s="63"/>
      <c r="J52" s="65" t="str">
        <f t="shared" si="105"/>
        <v/>
      </c>
      <c r="K52" s="2">
        <v>4</v>
      </c>
      <c r="L52" s="21" t="str">
        <f>VLOOKUP(K52,$AR$49:$AW$52,2,FALSE)</f>
        <v>Sydkorea</v>
      </c>
      <c r="M52" s="18">
        <f>VLOOKUP(L52,$AS$49:$AW$52,2,FALSE)</f>
        <v>0</v>
      </c>
      <c r="N52" s="18">
        <f>VLOOKUP(L52,$AS$49:$AW$52,3,FALSE)</f>
        <v>0</v>
      </c>
      <c r="O52" s="18">
        <f>VLOOKUP(L52,$AS$49:$AW$52,4,FALSE)</f>
        <v>0</v>
      </c>
      <c r="P52" s="19">
        <f>VLOOKUP(L52,$AS$49:$AW$52,5,FALSE)</f>
        <v>0</v>
      </c>
      <c r="X52" s="95" t="str">
        <f t="shared" si="106"/>
        <v>Tyskland</v>
      </c>
      <c r="Y52" s="96">
        <f t="shared" si="98"/>
        <v>0</v>
      </c>
      <c r="Z52" s="96">
        <f t="shared" si="99"/>
        <v>0</v>
      </c>
      <c r="AA52" s="96">
        <f t="shared" si="100"/>
        <v>0</v>
      </c>
      <c r="AB52" s="95" t="str">
        <f t="shared" si="107"/>
        <v>Sverige</v>
      </c>
      <c r="AC52" s="96">
        <f t="shared" si="101"/>
        <v>0</v>
      </c>
      <c r="AD52" s="77">
        <f t="shared" si="102"/>
        <v>0</v>
      </c>
      <c r="AE52" s="77">
        <f t="shared" si="103"/>
        <v>0</v>
      </c>
      <c r="AG52" s="76">
        <f>RANK($AH52,$AH$49:$AH$52,1)+COUNTIF($AH$49:$AH52,$AH52)-1</f>
        <v>4</v>
      </c>
      <c r="AH52" s="76">
        <f>AI52+AJ52+AK52</f>
        <v>1</v>
      </c>
      <c r="AI52" s="76">
        <f t="shared" si="108"/>
        <v>0</v>
      </c>
      <c r="AJ52" s="76">
        <f t="shared" si="109"/>
        <v>0</v>
      </c>
      <c r="AK52" s="76">
        <f t="shared" si="110"/>
        <v>1</v>
      </c>
      <c r="AL52" s="95" t="s">
        <v>80</v>
      </c>
      <c r="AM52" s="76">
        <f t="shared" si="111"/>
        <v>0</v>
      </c>
      <c r="AN52" s="76">
        <f t="shared" si="112"/>
        <v>0</v>
      </c>
      <c r="AO52" s="76">
        <f t="shared" si="113"/>
        <v>0</v>
      </c>
      <c r="AP52" s="76">
        <f t="shared" si="114"/>
        <v>0</v>
      </c>
      <c r="AR52" s="76">
        <v>4</v>
      </c>
      <c r="AS52" s="76" t="str">
        <f t="shared" si="115"/>
        <v>Sydkorea</v>
      </c>
      <c r="AT52" s="76">
        <f t="shared" si="116"/>
        <v>0</v>
      </c>
      <c r="AU52" s="76">
        <f t="shared" si="117"/>
        <v>0</v>
      </c>
      <c r="AV52" s="76">
        <f t="shared" si="118"/>
        <v>0</v>
      </c>
      <c r="AW52" s="76">
        <f t="shared" si="119"/>
        <v>0</v>
      </c>
      <c r="AX52" s="97">
        <v>28</v>
      </c>
      <c r="AY52" s="108">
        <v>41811.75</v>
      </c>
      <c r="AZ52" s="99" t="s">
        <v>70</v>
      </c>
      <c r="BA52" s="100" t="s">
        <v>6</v>
      </c>
      <c r="BB52" s="101" t="s">
        <v>68</v>
      </c>
      <c r="BC52" s="171" t="e">
        <f>IF(G52=#REF!,2,0)</f>
        <v>#REF!</v>
      </c>
      <c r="BD52" s="65" t="s">
        <v>6</v>
      </c>
      <c r="BE52" s="171" t="e">
        <f>IF(I52=#REF!,2,0)</f>
        <v>#REF!</v>
      </c>
      <c r="BF52" s="102" t="e">
        <f>IF(J52=#REF!,2,0)</f>
        <v>#REF!</v>
      </c>
      <c r="BG52" s="103" t="e">
        <f t="shared" si="104"/>
        <v>#REF!</v>
      </c>
      <c r="BI52" s="45"/>
      <c r="BJ52" s="49"/>
      <c r="BK52" s="49"/>
      <c r="BL52" s="49"/>
      <c r="BM52" s="49"/>
      <c r="BO52" s="94">
        <v>49</v>
      </c>
      <c r="BP52" s="16"/>
      <c r="BQ52" s="179"/>
      <c r="BR52" s="184"/>
    </row>
    <row r="53" spans="2:70" ht="14.25" customHeight="1" x14ac:dyDescent="0.25">
      <c r="B53" s="16">
        <v>44</v>
      </c>
      <c r="C53" s="107">
        <v>43278</v>
      </c>
      <c r="D53" s="91" t="s">
        <v>171</v>
      </c>
      <c r="E53" s="92" t="s">
        <v>6</v>
      </c>
      <c r="F53" s="93" t="s">
        <v>172</v>
      </c>
      <c r="G53" s="63"/>
      <c r="H53" s="94" t="s">
        <v>6</v>
      </c>
      <c r="I53" s="63"/>
      <c r="J53" s="65" t="str">
        <f t="shared" si="105"/>
        <v/>
      </c>
      <c r="L53" s="4"/>
      <c r="M53" s="32"/>
      <c r="N53" s="32"/>
      <c r="O53" s="32"/>
      <c r="P53" s="32"/>
      <c r="X53" s="95" t="str">
        <f t="shared" si="106"/>
        <v>Mexico</v>
      </c>
      <c r="Y53" s="96">
        <f t="shared" si="98"/>
        <v>0</v>
      </c>
      <c r="Z53" s="96">
        <f t="shared" si="99"/>
        <v>0</v>
      </c>
      <c r="AA53" s="96">
        <f t="shared" si="100"/>
        <v>0</v>
      </c>
      <c r="AB53" s="95" t="str">
        <f t="shared" si="107"/>
        <v>Sverige</v>
      </c>
      <c r="AC53" s="96">
        <f t="shared" si="101"/>
        <v>0</v>
      </c>
      <c r="AD53" s="77">
        <f t="shared" si="102"/>
        <v>0</v>
      </c>
      <c r="AE53" s="77">
        <f t="shared" si="103"/>
        <v>0</v>
      </c>
      <c r="AX53" s="97">
        <v>43</v>
      </c>
      <c r="AY53" s="108">
        <v>41815.541666666664</v>
      </c>
      <c r="AZ53" s="99" t="s">
        <v>70</v>
      </c>
      <c r="BA53" s="100" t="s">
        <v>6</v>
      </c>
      <c r="BB53" s="101" t="s">
        <v>67</v>
      </c>
      <c r="BC53" s="171" t="e">
        <f>IF(G53=#REF!,2,0)</f>
        <v>#REF!</v>
      </c>
      <c r="BD53" s="65" t="s">
        <v>6</v>
      </c>
      <c r="BE53" s="171" t="e">
        <f>IF(I53=#REF!,2,0)</f>
        <v>#REF!</v>
      </c>
      <c r="BF53" s="102" t="e">
        <f>IF(J53=#REF!,2,0)</f>
        <v>#REF!</v>
      </c>
      <c r="BG53" s="103" t="e">
        <f t="shared" si="104"/>
        <v>#REF!</v>
      </c>
      <c r="BJ53" s="49"/>
      <c r="BK53" s="49"/>
      <c r="BL53" s="49"/>
      <c r="BM53" s="49"/>
      <c r="BO53" s="94">
        <v>50</v>
      </c>
      <c r="BP53" s="16"/>
      <c r="BQ53" s="179"/>
      <c r="BR53" s="184"/>
    </row>
    <row r="54" spans="2:70" ht="14.25" customHeight="1" x14ac:dyDescent="0.25">
      <c r="B54" s="16">
        <v>43</v>
      </c>
      <c r="C54" s="107">
        <v>43278</v>
      </c>
      <c r="D54" s="91" t="s">
        <v>80</v>
      </c>
      <c r="E54" s="92" t="s">
        <v>6</v>
      </c>
      <c r="F54" s="93" t="s">
        <v>72</v>
      </c>
      <c r="G54" s="63"/>
      <c r="H54" s="94" t="s">
        <v>6</v>
      </c>
      <c r="I54" s="63"/>
      <c r="J54" s="65" t="str">
        <f t="shared" si="105"/>
        <v/>
      </c>
      <c r="L54" s="4"/>
      <c r="M54" s="32"/>
      <c r="N54" s="32"/>
      <c r="O54" s="32"/>
      <c r="P54" s="32"/>
      <c r="X54" s="95" t="str">
        <f t="shared" si="106"/>
        <v>Sydkorea</v>
      </c>
      <c r="Y54" s="96">
        <f t="shared" si="98"/>
        <v>0</v>
      </c>
      <c r="Z54" s="96">
        <f t="shared" si="99"/>
        <v>0</v>
      </c>
      <c r="AA54" s="96">
        <f t="shared" si="100"/>
        <v>0</v>
      </c>
      <c r="AB54" s="95" t="str">
        <f t="shared" si="107"/>
        <v>Tyskland</v>
      </c>
      <c r="AC54" s="96">
        <f t="shared" si="101"/>
        <v>0</v>
      </c>
      <c r="AD54" s="77">
        <f t="shared" si="102"/>
        <v>0</v>
      </c>
      <c r="AE54" s="77">
        <f t="shared" si="103"/>
        <v>0</v>
      </c>
      <c r="AX54" s="97">
        <v>44</v>
      </c>
      <c r="AY54" s="108">
        <v>41815.541666666664</v>
      </c>
      <c r="AZ54" s="99" t="s">
        <v>68</v>
      </c>
      <c r="BA54" s="100" t="s">
        <v>6</v>
      </c>
      <c r="BB54" s="101" t="s">
        <v>69</v>
      </c>
      <c r="BC54" s="171" t="e">
        <f>IF(G54=#REF!,2,0)</f>
        <v>#REF!</v>
      </c>
      <c r="BD54" s="65" t="s">
        <v>6</v>
      </c>
      <c r="BE54" s="171" t="e">
        <f>IF(I54=#REF!,2,0)</f>
        <v>#REF!</v>
      </c>
      <c r="BF54" s="102" t="e">
        <f>IF(J54=#REF!,2,0)</f>
        <v>#REF!</v>
      </c>
      <c r="BG54" s="103" t="e">
        <f t="shared" si="104"/>
        <v>#REF!</v>
      </c>
      <c r="BJ54" s="49"/>
      <c r="BK54" s="49"/>
      <c r="BL54" s="49"/>
      <c r="BM54" s="49"/>
    </row>
    <row r="55" spans="2:70" ht="14.25" customHeight="1" x14ac:dyDescent="0.25">
      <c r="C55" s="38"/>
      <c r="J55" s="24"/>
      <c r="M55" s="23"/>
      <c r="N55" s="35"/>
      <c r="O55" s="23"/>
      <c r="P55" s="23"/>
      <c r="AY55" s="41"/>
      <c r="BG55" s="119"/>
      <c r="BJ55" s="49"/>
      <c r="BK55" s="46"/>
      <c r="BL55" s="49"/>
      <c r="BM55" s="49"/>
    </row>
    <row r="56" spans="2:70" s="26" customFormat="1" ht="14.25" customHeight="1" x14ac:dyDescent="0.25">
      <c r="B56" s="6" t="s">
        <v>71</v>
      </c>
      <c r="C56" s="120"/>
      <c r="D56" s="135"/>
      <c r="E56" s="27"/>
      <c r="F56" s="135"/>
      <c r="G56" s="27"/>
      <c r="H56" s="27"/>
      <c r="I56" s="27"/>
      <c r="J56" s="24"/>
      <c r="K56" s="25"/>
      <c r="M56" s="27"/>
      <c r="N56" s="36"/>
      <c r="O56" s="27"/>
      <c r="P56" s="27"/>
      <c r="R56" s="27"/>
      <c r="S56" s="27"/>
      <c r="T56" s="27"/>
      <c r="U56" s="27"/>
      <c r="V56" s="141"/>
      <c r="X56" s="74"/>
      <c r="Y56" s="96"/>
      <c r="Z56" s="96"/>
      <c r="AA56" s="96"/>
      <c r="AB56" s="74"/>
      <c r="AC56" s="123"/>
      <c r="AD56" s="124"/>
      <c r="AE56" s="124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78" t="s">
        <v>71</v>
      </c>
      <c r="AY56" s="125"/>
      <c r="AZ56" s="79"/>
      <c r="BA56" s="80"/>
      <c r="BB56" s="79"/>
      <c r="BC56" s="80"/>
      <c r="BD56" s="80"/>
      <c r="BE56" s="80"/>
      <c r="BF56" s="80"/>
      <c r="BG56" s="24"/>
      <c r="BH56" s="127"/>
      <c r="BI56" s="1"/>
      <c r="BJ56" s="24"/>
      <c r="BK56" s="142"/>
      <c r="BL56" s="24"/>
      <c r="BM56" s="24"/>
    </row>
    <row r="57" spans="2:70" s="26" customFormat="1" ht="14.25" customHeight="1" x14ac:dyDescent="0.25">
      <c r="B57" s="137" t="s">
        <v>2</v>
      </c>
      <c r="C57" s="129" t="s">
        <v>3</v>
      </c>
      <c r="D57" s="187" t="s">
        <v>2</v>
      </c>
      <c r="E57" s="188"/>
      <c r="F57" s="189"/>
      <c r="G57" s="188" t="s">
        <v>4</v>
      </c>
      <c r="H57" s="188"/>
      <c r="I57" s="188"/>
      <c r="J57" s="28" t="s">
        <v>81</v>
      </c>
      <c r="K57" s="25"/>
      <c r="L57" s="8" t="s">
        <v>71</v>
      </c>
      <c r="M57" s="9" t="s">
        <v>89</v>
      </c>
      <c r="N57" s="9" t="s">
        <v>90</v>
      </c>
      <c r="O57" s="9" t="s">
        <v>91</v>
      </c>
      <c r="P57" s="10" t="s">
        <v>101</v>
      </c>
      <c r="R57" s="27"/>
      <c r="S57" s="27"/>
      <c r="T57" s="27"/>
      <c r="U57" s="27"/>
      <c r="V57" s="141"/>
      <c r="X57" s="85" t="s">
        <v>87</v>
      </c>
      <c r="Y57" s="85" t="s">
        <v>89</v>
      </c>
      <c r="Z57" s="85" t="s">
        <v>90</v>
      </c>
      <c r="AA57" s="85" t="s">
        <v>91</v>
      </c>
      <c r="AB57" s="85" t="s">
        <v>88</v>
      </c>
      <c r="AC57" s="85" t="s">
        <v>89</v>
      </c>
      <c r="AD57" s="85" t="s">
        <v>90</v>
      </c>
      <c r="AE57" s="85" t="s">
        <v>91</v>
      </c>
      <c r="AF57" s="123"/>
      <c r="AG57" s="86" t="s">
        <v>99</v>
      </c>
      <c r="AH57" s="86" t="s">
        <v>98</v>
      </c>
      <c r="AI57" s="86" t="s">
        <v>97</v>
      </c>
      <c r="AJ57" s="85" t="s">
        <v>96</v>
      </c>
      <c r="AK57" s="85" t="s">
        <v>95</v>
      </c>
      <c r="AL57" s="85" t="s">
        <v>92</v>
      </c>
      <c r="AM57" s="85" t="s">
        <v>89</v>
      </c>
      <c r="AN57" s="85" t="s">
        <v>90</v>
      </c>
      <c r="AO57" s="85" t="s">
        <v>91</v>
      </c>
      <c r="AP57" s="86" t="s">
        <v>93</v>
      </c>
      <c r="AQ57" s="123"/>
      <c r="AR57" s="85" t="s">
        <v>94</v>
      </c>
      <c r="AS57" s="85" t="s">
        <v>92</v>
      </c>
      <c r="AT57" s="85" t="s">
        <v>89</v>
      </c>
      <c r="AU57" s="85" t="s">
        <v>90</v>
      </c>
      <c r="AV57" s="85" t="s">
        <v>91</v>
      </c>
      <c r="AW57" s="86" t="s">
        <v>93</v>
      </c>
      <c r="AX57" s="139" t="s">
        <v>2</v>
      </c>
      <c r="AY57" s="131" t="s">
        <v>3</v>
      </c>
      <c r="AZ57" s="143" t="s">
        <v>2</v>
      </c>
      <c r="BA57" s="69"/>
      <c r="BB57" s="144"/>
      <c r="BC57" s="191" t="s">
        <v>4</v>
      </c>
      <c r="BD57" s="191"/>
      <c r="BE57" s="191"/>
      <c r="BF57" s="69" t="s">
        <v>81</v>
      </c>
      <c r="BG57" s="28" t="s">
        <v>89</v>
      </c>
      <c r="BH57" s="127"/>
      <c r="BI57" s="132"/>
      <c r="BJ57" s="24"/>
      <c r="BK57" s="24"/>
      <c r="BL57" s="24"/>
      <c r="BM57" s="24"/>
    </row>
    <row r="58" spans="2:70" ht="14.25" customHeight="1" x14ac:dyDescent="0.25">
      <c r="B58" s="16">
        <v>13</v>
      </c>
      <c r="C58" s="107">
        <v>43269</v>
      </c>
      <c r="D58" s="91" t="s">
        <v>77</v>
      </c>
      <c r="E58" s="92" t="s">
        <v>6</v>
      </c>
      <c r="F58" s="93" t="s">
        <v>173</v>
      </c>
      <c r="G58" s="63"/>
      <c r="H58" s="94" t="s">
        <v>6</v>
      </c>
      <c r="I58" s="63"/>
      <c r="J58" s="65" t="str">
        <f>IF(OR(ISBLANK(G58),ISBLANK(I58)),"",IF(G58&gt;I58,1,IF(G58&lt;I58,2,"X")))</f>
        <v/>
      </c>
      <c r="K58" s="12">
        <v>1</v>
      </c>
      <c r="L58" s="13" t="str">
        <f>VLOOKUP(K58,$AR$58:$AW$61,2,FALSE)</f>
        <v>Belgien</v>
      </c>
      <c r="M58" s="14">
        <f>VLOOKUP(L58,$AS$58:$AW$61,2,FALSE)</f>
        <v>0</v>
      </c>
      <c r="N58" s="14">
        <f>VLOOKUP(L58,$AS$58:$AW$61,3,FALSE)</f>
        <v>0</v>
      </c>
      <c r="O58" s="14">
        <f>VLOOKUP(L58,$AS$58:$AW$61,4,FALSE)</f>
        <v>0</v>
      </c>
      <c r="P58" s="15">
        <f>VLOOKUP(L58,$AS$58:$AW$61,5,FALSE)</f>
        <v>0</v>
      </c>
      <c r="X58" s="95" t="str">
        <f>D58</f>
        <v>Belgien</v>
      </c>
      <c r="Y58" s="96">
        <f t="shared" ref="Y58:Y63" si="120">IF(G58="",0,IF($G58&lt;$I58,0,IF($G58=$I58,1,3)))</f>
        <v>0</v>
      </c>
      <c r="Z58" s="96">
        <f t="shared" ref="Z58:Z63" si="121">G58</f>
        <v>0</v>
      </c>
      <c r="AA58" s="96">
        <f t="shared" ref="AA58:AA63" si="122">I58</f>
        <v>0</v>
      </c>
      <c r="AB58" s="95" t="str">
        <f>F58</f>
        <v>Panama</v>
      </c>
      <c r="AC58" s="96">
        <f t="shared" ref="AC58:AC63" si="123">IF(I58="",0,IF(I58&lt;G58,0,IF(I58=G58,1,3)))</f>
        <v>0</v>
      </c>
      <c r="AD58" s="77">
        <f t="shared" ref="AD58:AD63" si="124">I58</f>
        <v>0</v>
      </c>
      <c r="AE58" s="77">
        <f t="shared" ref="AE58:AE63" si="125">G58</f>
        <v>0</v>
      </c>
      <c r="AG58" s="76">
        <f>RANK($AH58,$AH$58:$AH$61,1)+COUNTIF($AH$58:$AH58,$AH58)-1</f>
        <v>1</v>
      </c>
      <c r="AH58" s="76">
        <f>AI58+AJ58+AK58</f>
        <v>1</v>
      </c>
      <c r="AI58" s="76">
        <f>SUMPRODUCT(($AM$58:$AM$61=AM58)*($AP$58:$AP$61=AP58)*($AN$58:$AN$61&gt;AN58))</f>
        <v>0</v>
      </c>
      <c r="AJ58" s="76">
        <f>SUMPRODUCT(($AM$58:$AM$61=AM58)*($AP$58:$AP$61&gt;AP58))</f>
        <v>0</v>
      </c>
      <c r="AK58" s="76">
        <f>RANK(AM58,$AM$58:$AM$61)</f>
        <v>1</v>
      </c>
      <c r="AL58" s="95" t="s">
        <v>77</v>
      </c>
      <c r="AM58" s="76">
        <f>SUMIF($X$58:$X$63,$AL58,$Y$58:$Y$63)+SUMIF($AB$58:$AB$63,$AL58,$AC$58:$AC$63)</f>
        <v>0</v>
      </c>
      <c r="AN58" s="76">
        <f>SUMIF($X$58:$X$63,$AL58,$Z$58:$Z$63)+SUMIF($AB$58:$AB$63,$AL58,$AD$58:$AD$63)</f>
        <v>0</v>
      </c>
      <c r="AO58" s="76">
        <f>SUMIF($X$58:$X$63,$AL58,$AA$58:$AA$63)+SUMIF($AB$58:$AB$63,$AL58,$AE$58:$AE$63)</f>
        <v>0</v>
      </c>
      <c r="AP58" s="76">
        <f>AN58-AO58</f>
        <v>0</v>
      </c>
      <c r="AR58" s="76">
        <v>1</v>
      </c>
      <c r="AS58" s="76" t="str">
        <f>VLOOKUP($AR58,$AG$58:$AP$61,6,FALSE)</f>
        <v>Belgien</v>
      </c>
      <c r="AT58" s="76">
        <f>VLOOKUP($AS58,$AL$58:$AP$61,2,FALSE)</f>
        <v>0</v>
      </c>
      <c r="AU58" s="76">
        <f>VLOOKUP($AS58,$AL$58:$AP$61,3,FALSE)</f>
        <v>0</v>
      </c>
      <c r="AV58" s="76">
        <f>VLOOKUP($AS58,$AL$58:$AP$61,4,FALSE)</f>
        <v>0</v>
      </c>
      <c r="AW58" s="76">
        <f>VLOOKUP($AS58,$AL$58:$AP$61,5,FALSE)</f>
        <v>0</v>
      </c>
      <c r="AX58" s="97">
        <v>13</v>
      </c>
      <c r="AY58" s="108">
        <v>41806.541666666664</v>
      </c>
      <c r="AZ58" s="99" t="s">
        <v>72</v>
      </c>
      <c r="BA58" s="100" t="s">
        <v>6</v>
      </c>
      <c r="BB58" s="101" t="s">
        <v>73</v>
      </c>
      <c r="BC58" s="171" t="e">
        <f>IF(G58=#REF!,2,0)</f>
        <v>#REF!</v>
      </c>
      <c r="BD58" s="65" t="s">
        <v>6</v>
      </c>
      <c r="BE58" s="171" t="e">
        <f>IF(I58=#REF!,2,0)</f>
        <v>#REF!</v>
      </c>
      <c r="BF58" s="102" t="e">
        <f>IF(J58=#REF!,2,0)</f>
        <v>#REF!</v>
      </c>
      <c r="BG58" s="103" t="e">
        <f t="shared" ref="BG58:BG63" si="126">SUM(BC58+BE58+BF58)</f>
        <v>#REF!</v>
      </c>
      <c r="BH58" s="104"/>
      <c r="BI58" s="78"/>
      <c r="BJ58" s="49"/>
      <c r="BK58" s="49"/>
      <c r="BL58" s="49"/>
      <c r="BM58" s="49"/>
    </row>
    <row r="59" spans="2:70" ht="14.25" customHeight="1" x14ac:dyDescent="0.25">
      <c r="B59" s="16">
        <v>14</v>
      </c>
      <c r="C59" s="107">
        <v>43269</v>
      </c>
      <c r="D59" s="91" t="s">
        <v>174</v>
      </c>
      <c r="E59" s="92" t="s">
        <v>6</v>
      </c>
      <c r="F59" s="93" t="s">
        <v>59</v>
      </c>
      <c r="G59" s="63"/>
      <c r="H59" s="94" t="s">
        <v>6</v>
      </c>
      <c r="I59" s="63"/>
      <c r="J59" s="65" t="str">
        <f t="shared" ref="J59:J63" si="127">IF(OR(ISBLANK(G59),ISBLANK(I59)),"",IF(G59&gt;I59,1,IF(G59&lt;I59,2,"X")))</f>
        <v/>
      </c>
      <c r="K59" s="2">
        <v>2</v>
      </c>
      <c r="L59" s="17" t="str">
        <f>VLOOKUP(K59,$AR$58:$AW$61,2,FALSE)</f>
        <v>Panama</v>
      </c>
      <c r="M59" s="18">
        <f>VLOOKUP(L59,$AS$58:$AW$61,2,FALSE)</f>
        <v>0</v>
      </c>
      <c r="N59" s="18">
        <f>VLOOKUP(L59,$AS$58:$AW$61,3,FALSE)</f>
        <v>0</v>
      </c>
      <c r="O59" s="18">
        <f>VLOOKUP(L59,$AS$58:$AW$61,4,FALSE)</f>
        <v>0</v>
      </c>
      <c r="P59" s="19">
        <f>VLOOKUP(L59,$AS$58:$AW$61,5,FALSE)</f>
        <v>0</v>
      </c>
      <c r="X59" s="95" t="str">
        <f t="shared" ref="X59:X63" si="128">D59</f>
        <v>Tunisien</v>
      </c>
      <c r="Y59" s="96">
        <f t="shared" si="120"/>
        <v>0</v>
      </c>
      <c r="Z59" s="96">
        <f t="shared" si="121"/>
        <v>0</v>
      </c>
      <c r="AA59" s="96">
        <f t="shared" si="122"/>
        <v>0</v>
      </c>
      <c r="AB59" s="95" t="str">
        <f t="shared" ref="AB59:AB63" si="129">F59</f>
        <v>England</v>
      </c>
      <c r="AC59" s="96">
        <f t="shared" si="123"/>
        <v>0</v>
      </c>
      <c r="AD59" s="77">
        <f t="shared" si="124"/>
        <v>0</v>
      </c>
      <c r="AE59" s="77">
        <f t="shared" si="125"/>
        <v>0</v>
      </c>
      <c r="AG59" s="76">
        <f>RANK($AH59,$AH$58:$AH$61,1)+COUNTIF($AH$58:$AH59,$AH59)-1</f>
        <v>2</v>
      </c>
      <c r="AH59" s="76">
        <f>AI59+AJ59+AK59</f>
        <v>1</v>
      </c>
      <c r="AI59" s="76">
        <f t="shared" ref="AI59:AI61" si="130">SUMPRODUCT(($AM$58:$AM$61=AM59)*($AP$58:$AP$61=AP59)*($AN$58:$AN$61&gt;AN59))</f>
        <v>0</v>
      </c>
      <c r="AJ59" s="76">
        <f t="shared" ref="AJ59:AJ61" si="131">SUMPRODUCT(($AM$58:$AM$61=AM59)*($AP$58:$AP$61&gt;AP59))</f>
        <v>0</v>
      </c>
      <c r="AK59" s="76">
        <f t="shared" ref="AK59:AK61" si="132">RANK(AM59,$AM$58:$AM$61)</f>
        <v>1</v>
      </c>
      <c r="AL59" s="95" t="s">
        <v>173</v>
      </c>
      <c r="AM59" s="76">
        <f t="shared" ref="AM59:AM61" si="133">SUMIF($X$58:$X$63,$AL59,$Y$58:$Y$63)+SUMIF($AB$58:$AB$63,$AL59,$AC$58:$AC$63)</f>
        <v>0</v>
      </c>
      <c r="AN59" s="76">
        <f t="shared" ref="AN59:AN61" si="134">SUMIF($X$58:$X$63,$AL59,$Z$58:$Z$63)+SUMIF($AB$58:$AB$63,$AL59,$AD$58:$AD$63)</f>
        <v>0</v>
      </c>
      <c r="AO59" s="76">
        <f t="shared" ref="AO59:AO61" si="135">SUMIF($X$58:$X$63,$AL59,$AA$58:$AA$63)+SUMIF($AB$58:$AB$63,$AL59,$AE$58:$AE$63)</f>
        <v>0</v>
      </c>
      <c r="AP59" s="76">
        <f t="shared" ref="AP59:AP61" si="136">AN59-AO59</f>
        <v>0</v>
      </c>
      <c r="AR59" s="76">
        <v>2</v>
      </c>
      <c r="AS59" s="76" t="str">
        <f t="shared" ref="AS59:AS61" si="137">VLOOKUP($AR59,$AG$58:$AP$61,6,FALSE)</f>
        <v>Panama</v>
      </c>
      <c r="AT59" s="76">
        <f t="shared" ref="AT59:AT61" si="138">VLOOKUP($AS59,$AL$58:$AP$61,2,FALSE)</f>
        <v>0</v>
      </c>
      <c r="AU59" s="76">
        <f t="shared" ref="AU59:AU61" si="139">VLOOKUP($AS59,$AL$58:$AP$61,3,FALSE)</f>
        <v>0</v>
      </c>
      <c r="AV59" s="76">
        <f t="shared" ref="AV59:AV61" si="140">VLOOKUP($AS59,$AL$58:$AP$61,4,FALSE)</f>
        <v>0</v>
      </c>
      <c r="AW59" s="76">
        <f t="shared" ref="AW59:AW61" si="141">VLOOKUP($AS59,$AL$58:$AP$61,5,FALSE)</f>
        <v>0</v>
      </c>
      <c r="AX59" s="97">
        <v>14</v>
      </c>
      <c r="AY59" s="108">
        <v>41806.791666666664</v>
      </c>
      <c r="AZ59" s="99" t="s">
        <v>74</v>
      </c>
      <c r="BA59" s="100" t="s">
        <v>6</v>
      </c>
      <c r="BB59" s="101" t="s">
        <v>75</v>
      </c>
      <c r="BC59" s="171" t="e">
        <f>IF(G59=#REF!,2,0)</f>
        <v>#REF!</v>
      </c>
      <c r="BD59" s="65" t="s">
        <v>6</v>
      </c>
      <c r="BE59" s="171" t="e">
        <f>IF(I59=#REF!,2,0)</f>
        <v>#REF!</v>
      </c>
      <c r="BF59" s="102" t="e">
        <f>IF(J59=#REF!,2,0)</f>
        <v>#REF!</v>
      </c>
      <c r="BG59" s="103" t="e">
        <f t="shared" si="126"/>
        <v>#REF!</v>
      </c>
      <c r="BI59" s="78"/>
      <c r="BJ59" s="49"/>
      <c r="BK59" s="49"/>
      <c r="BL59" s="49"/>
      <c r="BM59" s="49"/>
    </row>
    <row r="60" spans="2:70" ht="14.25" customHeight="1" x14ac:dyDescent="0.25">
      <c r="B60" s="16">
        <v>29</v>
      </c>
      <c r="C60" s="107">
        <v>43274</v>
      </c>
      <c r="D60" s="91" t="s">
        <v>77</v>
      </c>
      <c r="E60" s="92" t="s">
        <v>6</v>
      </c>
      <c r="F60" s="93" t="s">
        <v>174</v>
      </c>
      <c r="G60" s="63"/>
      <c r="H60" s="94" t="s">
        <v>6</v>
      </c>
      <c r="I60" s="63"/>
      <c r="J60" s="65" t="str">
        <f t="shared" si="127"/>
        <v/>
      </c>
      <c r="K60" s="2">
        <v>3</v>
      </c>
      <c r="L60" s="158" t="str">
        <f>VLOOKUP(K60,$AR$58:$AW$61,2,FALSE)</f>
        <v>Tunisien</v>
      </c>
      <c r="M60" s="32">
        <f>VLOOKUP(L60,$AS$58:$AW$61,2,FALSE)</f>
        <v>0</v>
      </c>
      <c r="N60" s="32">
        <f>VLOOKUP(L60,$AS$58:$AW$61,3,FALSE)</f>
        <v>0</v>
      </c>
      <c r="O60" s="32">
        <f>VLOOKUP(L60,$AS$58:$AW$61,4,FALSE)</f>
        <v>0</v>
      </c>
      <c r="P60" s="33">
        <f>VLOOKUP(L60,$AS$58:$AW$61,5,FALSE)</f>
        <v>0</v>
      </c>
      <c r="X60" s="95" t="str">
        <f t="shared" si="128"/>
        <v>Belgien</v>
      </c>
      <c r="Y60" s="96">
        <f t="shared" si="120"/>
        <v>0</v>
      </c>
      <c r="Z60" s="96">
        <f t="shared" si="121"/>
        <v>0</v>
      </c>
      <c r="AA60" s="96">
        <f t="shared" si="122"/>
        <v>0</v>
      </c>
      <c r="AB60" s="95" t="str">
        <f t="shared" si="129"/>
        <v>Tunisien</v>
      </c>
      <c r="AC60" s="96">
        <f t="shared" si="123"/>
        <v>0</v>
      </c>
      <c r="AD60" s="77">
        <f t="shared" si="124"/>
        <v>0</v>
      </c>
      <c r="AE60" s="77">
        <f t="shared" si="125"/>
        <v>0</v>
      </c>
      <c r="AG60" s="76">
        <f>RANK($AH60,$AH$58:$AH$61,1)+COUNTIF($AH$58:$AH60,$AH60)-1</f>
        <v>3</v>
      </c>
      <c r="AH60" s="76">
        <f>AI60+AJ60+AK60</f>
        <v>1</v>
      </c>
      <c r="AI60" s="76">
        <f t="shared" si="130"/>
        <v>0</v>
      </c>
      <c r="AJ60" s="76">
        <f t="shared" si="131"/>
        <v>0</v>
      </c>
      <c r="AK60" s="76">
        <f t="shared" si="132"/>
        <v>1</v>
      </c>
      <c r="AL60" s="95" t="s">
        <v>174</v>
      </c>
      <c r="AM60" s="76">
        <f t="shared" si="133"/>
        <v>0</v>
      </c>
      <c r="AN60" s="76">
        <f t="shared" si="134"/>
        <v>0</v>
      </c>
      <c r="AO60" s="76">
        <f t="shared" si="135"/>
        <v>0</v>
      </c>
      <c r="AP60" s="76">
        <f t="shared" si="136"/>
        <v>0</v>
      </c>
      <c r="AR60" s="76">
        <v>3</v>
      </c>
      <c r="AS60" s="76" t="str">
        <f t="shared" si="137"/>
        <v>Tunisien</v>
      </c>
      <c r="AT60" s="76">
        <f t="shared" si="138"/>
        <v>0</v>
      </c>
      <c r="AU60" s="76">
        <f t="shared" si="139"/>
        <v>0</v>
      </c>
      <c r="AV60" s="76">
        <f t="shared" si="140"/>
        <v>0</v>
      </c>
      <c r="AW60" s="76">
        <f t="shared" si="141"/>
        <v>0</v>
      </c>
      <c r="AX60" s="97">
        <v>29</v>
      </c>
      <c r="AY60" s="108">
        <v>41811.666666666664</v>
      </c>
      <c r="AZ60" s="99" t="s">
        <v>72</v>
      </c>
      <c r="BA60" s="100" t="s">
        <v>6</v>
      </c>
      <c r="BB60" s="101" t="s">
        <v>74</v>
      </c>
      <c r="BC60" s="171" t="e">
        <f>IF(G60=#REF!,2,0)</f>
        <v>#REF!</v>
      </c>
      <c r="BD60" s="65" t="s">
        <v>6</v>
      </c>
      <c r="BE60" s="171" t="e">
        <f>IF(I60=#REF!,2,0)</f>
        <v>#REF!</v>
      </c>
      <c r="BF60" s="102" t="e">
        <f>IF(J60=#REF!,2,0)</f>
        <v>#REF!</v>
      </c>
      <c r="BG60" s="103" t="e">
        <f t="shared" si="126"/>
        <v>#REF!</v>
      </c>
      <c r="BI60" s="45"/>
      <c r="BJ60" s="49"/>
      <c r="BK60" s="49"/>
      <c r="BL60" s="49"/>
      <c r="BM60" s="49"/>
    </row>
    <row r="61" spans="2:70" ht="14.25" customHeight="1" x14ac:dyDescent="0.25">
      <c r="B61" s="16">
        <v>30</v>
      </c>
      <c r="C61" s="107">
        <v>43275</v>
      </c>
      <c r="D61" s="91" t="s">
        <v>59</v>
      </c>
      <c r="E61" s="92" t="s">
        <v>6</v>
      </c>
      <c r="F61" s="93" t="s">
        <v>173</v>
      </c>
      <c r="G61" s="63"/>
      <c r="H61" s="94" t="s">
        <v>6</v>
      </c>
      <c r="I61" s="63"/>
      <c r="J61" s="65" t="str">
        <f t="shared" si="127"/>
        <v/>
      </c>
      <c r="K61" s="2">
        <v>4</v>
      </c>
      <c r="L61" s="21" t="str">
        <f>VLOOKUP(K61,$AR$58:$AW$61,2,FALSE)</f>
        <v>England</v>
      </c>
      <c r="M61" s="18">
        <f>VLOOKUP(L61,$AS$58:$AW$61,2,FALSE)</f>
        <v>0</v>
      </c>
      <c r="N61" s="18">
        <f>VLOOKUP(L61,$AS$58:$AW$61,3,FALSE)</f>
        <v>0</v>
      </c>
      <c r="O61" s="18">
        <f>VLOOKUP(L61,$AS$58:$AW$61,4,FALSE)</f>
        <v>0</v>
      </c>
      <c r="P61" s="19">
        <f>VLOOKUP(L61,$AS$58:$AW$61,5,FALSE)</f>
        <v>0</v>
      </c>
      <c r="X61" s="95" t="str">
        <f t="shared" si="128"/>
        <v>England</v>
      </c>
      <c r="Y61" s="96">
        <f t="shared" si="120"/>
        <v>0</v>
      </c>
      <c r="Z61" s="96">
        <f t="shared" si="121"/>
        <v>0</v>
      </c>
      <c r="AA61" s="96">
        <f t="shared" si="122"/>
        <v>0</v>
      </c>
      <c r="AB61" s="95" t="str">
        <f t="shared" si="129"/>
        <v>Panama</v>
      </c>
      <c r="AC61" s="96">
        <f t="shared" si="123"/>
        <v>0</v>
      </c>
      <c r="AD61" s="77">
        <f t="shared" si="124"/>
        <v>0</v>
      </c>
      <c r="AE61" s="77">
        <f t="shared" si="125"/>
        <v>0</v>
      </c>
      <c r="AG61" s="76">
        <f>RANK($AH61,$AH$58:$AH$61,1)+COUNTIF($AH$58:$AH61,$AH61)-1</f>
        <v>4</v>
      </c>
      <c r="AH61" s="76">
        <f>AI61+AJ61+AK61</f>
        <v>1</v>
      </c>
      <c r="AI61" s="76">
        <f t="shared" si="130"/>
        <v>0</v>
      </c>
      <c r="AJ61" s="76">
        <f t="shared" si="131"/>
        <v>0</v>
      </c>
      <c r="AK61" s="76">
        <f t="shared" si="132"/>
        <v>1</v>
      </c>
      <c r="AL61" s="95" t="s">
        <v>59</v>
      </c>
      <c r="AM61" s="76">
        <f t="shared" si="133"/>
        <v>0</v>
      </c>
      <c r="AN61" s="76">
        <f t="shared" si="134"/>
        <v>0</v>
      </c>
      <c r="AO61" s="76">
        <f t="shared" si="135"/>
        <v>0</v>
      </c>
      <c r="AP61" s="76">
        <f t="shared" si="136"/>
        <v>0</v>
      </c>
      <c r="AR61" s="76">
        <v>4</v>
      </c>
      <c r="AS61" s="76" t="str">
        <f t="shared" si="137"/>
        <v>England</v>
      </c>
      <c r="AT61" s="76">
        <f t="shared" si="138"/>
        <v>0</v>
      </c>
      <c r="AU61" s="76">
        <f t="shared" si="139"/>
        <v>0</v>
      </c>
      <c r="AV61" s="76">
        <f t="shared" si="140"/>
        <v>0</v>
      </c>
      <c r="AW61" s="76">
        <f t="shared" si="141"/>
        <v>0</v>
      </c>
      <c r="AX61" s="97">
        <v>30</v>
      </c>
      <c r="AY61" s="108">
        <v>41812.75</v>
      </c>
      <c r="AZ61" s="99" t="s">
        <v>75</v>
      </c>
      <c r="BA61" s="100" t="s">
        <v>6</v>
      </c>
      <c r="BB61" s="101" t="s">
        <v>73</v>
      </c>
      <c r="BC61" s="171" t="e">
        <f>IF(G61=#REF!,2,0)</f>
        <v>#REF!</v>
      </c>
      <c r="BD61" s="65" t="s">
        <v>6</v>
      </c>
      <c r="BE61" s="171" t="e">
        <f>IF(I61=#REF!,2,0)</f>
        <v>#REF!</v>
      </c>
      <c r="BF61" s="102" t="e">
        <f>IF(J61=#REF!,2,0)</f>
        <v>#REF!</v>
      </c>
      <c r="BG61" s="103" t="e">
        <f t="shared" si="126"/>
        <v>#REF!</v>
      </c>
      <c r="BI61" s="45"/>
      <c r="BJ61" s="49"/>
      <c r="BK61" s="49"/>
      <c r="BL61" s="49"/>
      <c r="BM61" s="49"/>
    </row>
    <row r="62" spans="2:70" ht="14.25" customHeight="1" x14ac:dyDescent="0.25">
      <c r="B62" s="16">
        <v>46</v>
      </c>
      <c r="C62" s="107">
        <v>43279</v>
      </c>
      <c r="D62" s="91" t="s">
        <v>173</v>
      </c>
      <c r="E62" s="92" t="s">
        <v>6</v>
      </c>
      <c r="F62" s="93" t="s">
        <v>174</v>
      </c>
      <c r="G62" s="63"/>
      <c r="H62" s="94" t="s">
        <v>6</v>
      </c>
      <c r="I62" s="63"/>
      <c r="J62" s="65" t="str">
        <f t="shared" si="127"/>
        <v/>
      </c>
      <c r="M62" s="23"/>
      <c r="N62" s="35"/>
      <c r="O62" s="23"/>
      <c r="P62" s="23"/>
      <c r="X62" s="95" t="str">
        <f t="shared" si="128"/>
        <v>Panama</v>
      </c>
      <c r="Y62" s="96">
        <f t="shared" si="120"/>
        <v>0</v>
      </c>
      <c r="Z62" s="96">
        <f t="shared" si="121"/>
        <v>0</v>
      </c>
      <c r="AA62" s="96">
        <f t="shared" si="122"/>
        <v>0</v>
      </c>
      <c r="AB62" s="95" t="str">
        <f t="shared" si="129"/>
        <v>Tunisien</v>
      </c>
      <c r="AC62" s="96">
        <f t="shared" si="123"/>
        <v>0</v>
      </c>
      <c r="AD62" s="77">
        <f t="shared" si="124"/>
        <v>0</v>
      </c>
      <c r="AE62" s="77">
        <f t="shared" si="125"/>
        <v>0</v>
      </c>
      <c r="AX62" s="97">
        <v>45</v>
      </c>
      <c r="AY62" s="108">
        <v>41816.541666666664</v>
      </c>
      <c r="AZ62" s="99" t="s">
        <v>75</v>
      </c>
      <c r="BA62" s="100" t="s">
        <v>6</v>
      </c>
      <c r="BB62" s="101" t="s">
        <v>72</v>
      </c>
      <c r="BC62" s="171" t="e">
        <f>IF(G62=#REF!,2,0)</f>
        <v>#REF!</v>
      </c>
      <c r="BD62" s="65" t="s">
        <v>6</v>
      </c>
      <c r="BE62" s="171" t="e">
        <f>IF(I62=#REF!,2,0)</f>
        <v>#REF!</v>
      </c>
      <c r="BF62" s="102" t="e">
        <f>IF(J62=#REF!,2,0)</f>
        <v>#REF!</v>
      </c>
      <c r="BG62" s="103" t="e">
        <f t="shared" si="126"/>
        <v>#REF!</v>
      </c>
      <c r="BJ62" s="49"/>
      <c r="BK62" s="46"/>
      <c r="BL62" s="49"/>
      <c r="BM62" s="49"/>
    </row>
    <row r="63" spans="2:70" ht="14.25" customHeight="1" x14ac:dyDescent="0.25">
      <c r="B63" s="16">
        <v>45</v>
      </c>
      <c r="C63" s="107">
        <v>43279</v>
      </c>
      <c r="D63" s="91" t="s">
        <v>59</v>
      </c>
      <c r="E63" s="92" t="s">
        <v>6</v>
      </c>
      <c r="F63" s="93" t="s">
        <v>77</v>
      </c>
      <c r="G63" s="63"/>
      <c r="H63" s="94" t="s">
        <v>6</v>
      </c>
      <c r="I63" s="63"/>
      <c r="J63" s="65" t="str">
        <f t="shared" si="127"/>
        <v/>
      </c>
      <c r="M63" s="23"/>
      <c r="N63" s="35"/>
      <c r="O63" s="23"/>
      <c r="P63" s="23"/>
      <c r="X63" s="95" t="str">
        <f t="shared" si="128"/>
        <v>England</v>
      </c>
      <c r="Y63" s="96">
        <f t="shared" si="120"/>
        <v>0</v>
      </c>
      <c r="Z63" s="96">
        <f t="shared" si="121"/>
        <v>0</v>
      </c>
      <c r="AA63" s="96">
        <f t="shared" si="122"/>
        <v>0</v>
      </c>
      <c r="AB63" s="95" t="str">
        <f t="shared" si="129"/>
        <v>Belgien</v>
      </c>
      <c r="AC63" s="96">
        <f t="shared" si="123"/>
        <v>0</v>
      </c>
      <c r="AD63" s="77">
        <f t="shared" si="124"/>
        <v>0</v>
      </c>
      <c r="AE63" s="77">
        <f t="shared" si="125"/>
        <v>0</v>
      </c>
      <c r="AX63" s="97">
        <v>46</v>
      </c>
      <c r="AY63" s="108">
        <v>41816.541666666664</v>
      </c>
      <c r="AZ63" s="99" t="s">
        <v>73</v>
      </c>
      <c r="BA63" s="100" t="s">
        <v>6</v>
      </c>
      <c r="BB63" s="101" t="s">
        <v>74</v>
      </c>
      <c r="BC63" s="171" t="e">
        <f>IF(G63=#REF!,2,0)</f>
        <v>#REF!</v>
      </c>
      <c r="BD63" s="65" t="s">
        <v>6</v>
      </c>
      <c r="BE63" s="171" t="e">
        <f>IF(I63=#REF!,2,0)</f>
        <v>#REF!</v>
      </c>
      <c r="BF63" s="102" t="e">
        <f>IF(J63=#REF!,2,0)</f>
        <v>#REF!</v>
      </c>
      <c r="BG63" s="103" t="e">
        <f t="shared" si="126"/>
        <v>#REF!</v>
      </c>
      <c r="BJ63" s="49"/>
      <c r="BK63" s="46"/>
      <c r="BL63" s="49"/>
      <c r="BM63" s="49"/>
    </row>
    <row r="64" spans="2:70" ht="14.25" customHeight="1" x14ac:dyDescent="0.25">
      <c r="C64" s="38"/>
      <c r="F64" s="135"/>
      <c r="J64" s="24"/>
      <c r="M64" s="23"/>
      <c r="N64" s="35"/>
      <c r="O64" s="23"/>
      <c r="P64" s="23"/>
      <c r="AY64" s="41"/>
      <c r="BG64" s="119"/>
      <c r="BJ64" s="49"/>
      <c r="BK64" s="46"/>
      <c r="BL64" s="49"/>
      <c r="BM64" s="49"/>
    </row>
    <row r="65" spans="2:65" s="26" customFormat="1" ht="14.25" customHeight="1" x14ac:dyDescent="0.25">
      <c r="B65" s="6" t="s">
        <v>76</v>
      </c>
      <c r="C65" s="120"/>
      <c r="D65" s="72"/>
      <c r="E65" s="27"/>
      <c r="F65" s="72"/>
      <c r="G65" s="27"/>
      <c r="H65" s="27"/>
      <c r="I65" s="27"/>
      <c r="J65" s="24"/>
      <c r="K65" s="25"/>
      <c r="M65" s="27"/>
      <c r="N65" s="36"/>
      <c r="O65" s="27"/>
      <c r="P65" s="27"/>
      <c r="R65" s="27"/>
      <c r="S65" s="27"/>
      <c r="T65" s="27"/>
      <c r="U65" s="27"/>
      <c r="V65" s="141"/>
      <c r="X65" s="74"/>
      <c r="Y65" s="96"/>
      <c r="Z65" s="96"/>
      <c r="AA65" s="96"/>
      <c r="AB65" s="74"/>
      <c r="AC65" s="123"/>
      <c r="AD65" s="124"/>
      <c r="AE65" s="124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78" t="s">
        <v>76</v>
      </c>
      <c r="AY65" s="125"/>
      <c r="AZ65" s="79"/>
      <c r="BA65" s="80"/>
      <c r="BB65" s="79"/>
      <c r="BC65" s="80"/>
      <c r="BD65" s="80"/>
      <c r="BE65" s="80"/>
      <c r="BF65" s="80"/>
      <c r="BG65" s="24"/>
      <c r="BH65" s="127"/>
      <c r="BI65" s="1"/>
      <c r="BJ65" s="24"/>
      <c r="BK65" s="142"/>
      <c r="BL65" s="24"/>
      <c r="BM65" s="24"/>
    </row>
    <row r="66" spans="2:65" s="26" customFormat="1" ht="14.25" customHeight="1" x14ac:dyDescent="0.25">
      <c r="B66" s="137" t="s">
        <v>2</v>
      </c>
      <c r="C66" s="129" t="s">
        <v>3</v>
      </c>
      <c r="D66" s="187" t="s">
        <v>2</v>
      </c>
      <c r="E66" s="188"/>
      <c r="F66" s="189"/>
      <c r="G66" s="188" t="s">
        <v>4</v>
      </c>
      <c r="H66" s="188"/>
      <c r="I66" s="188"/>
      <c r="J66" s="28" t="s">
        <v>81</v>
      </c>
      <c r="K66" s="25"/>
      <c r="L66" s="8" t="s">
        <v>76</v>
      </c>
      <c r="M66" s="9" t="s">
        <v>89</v>
      </c>
      <c r="N66" s="9" t="s">
        <v>90</v>
      </c>
      <c r="O66" s="9" t="s">
        <v>91</v>
      </c>
      <c r="P66" s="10" t="s">
        <v>101</v>
      </c>
      <c r="R66" s="27"/>
      <c r="S66" s="27"/>
      <c r="T66" s="27"/>
      <c r="U66" s="27"/>
      <c r="V66" s="141"/>
      <c r="X66" s="85" t="s">
        <v>87</v>
      </c>
      <c r="Y66" s="85" t="s">
        <v>89</v>
      </c>
      <c r="Z66" s="85" t="s">
        <v>90</v>
      </c>
      <c r="AA66" s="85" t="s">
        <v>91</v>
      </c>
      <c r="AB66" s="85" t="s">
        <v>88</v>
      </c>
      <c r="AC66" s="85" t="s">
        <v>89</v>
      </c>
      <c r="AD66" s="85" t="s">
        <v>90</v>
      </c>
      <c r="AE66" s="85" t="s">
        <v>91</v>
      </c>
      <c r="AF66" s="123"/>
      <c r="AG66" s="86" t="s">
        <v>99</v>
      </c>
      <c r="AH66" s="86" t="s">
        <v>98</v>
      </c>
      <c r="AI66" s="86" t="s">
        <v>97</v>
      </c>
      <c r="AJ66" s="85" t="s">
        <v>96</v>
      </c>
      <c r="AK66" s="85" t="s">
        <v>95</v>
      </c>
      <c r="AL66" s="85" t="s">
        <v>92</v>
      </c>
      <c r="AM66" s="85" t="s">
        <v>89</v>
      </c>
      <c r="AN66" s="85" t="s">
        <v>90</v>
      </c>
      <c r="AO66" s="85" t="s">
        <v>91</v>
      </c>
      <c r="AP66" s="86" t="s">
        <v>93</v>
      </c>
      <c r="AQ66" s="123"/>
      <c r="AR66" s="85" t="s">
        <v>94</v>
      </c>
      <c r="AS66" s="85" t="s">
        <v>92</v>
      </c>
      <c r="AT66" s="85" t="s">
        <v>89</v>
      </c>
      <c r="AU66" s="85" t="s">
        <v>90</v>
      </c>
      <c r="AV66" s="85" t="s">
        <v>91</v>
      </c>
      <c r="AW66" s="86" t="s">
        <v>93</v>
      </c>
      <c r="AX66" s="139" t="s">
        <v>2</v>
      </c>
      <c r="AY66" s="131" t="s">
        <v>3</v>
      </c>
      <c r="AZ66" s="143" t="s">
        <v>2</v>
      </c>
      <c r="BA66" s="69"/>
      <c r="BB66" s="144"/>
      <c r="BC66" s="191" t="s">
        <v>4</v>
      </c>
      <c r="BD66" s="191"/>
      <c r="BE66" s="191"/>
      <c r="BF66" s="69" t="s">
        <v>81</v>
      </c>
      <c r="BG66" s="28" t="s">
        <v>89</v>
      </c>
      <c r="BH66" s="127"/>
      <c r="BI66" s="132"/>
      <c r="BJ66" s="24"/>
      <c r="BK66" s="24"/>
      <c r="BL66" s="24"/>
      <c r="BM66" s="24"/>
    </row>
    <row r="67" spans="2:65" ht="14.25" customHeight="1" x14ac:dyDescent="0.25">
      <c r="B67" s="16">
        <v>16</v>
      </c>
      <c r="C67" s="107">
        <v>43270</v>
      </c>
      <c r="D67" s="91" t="s">
        <v>42</v>
      </c>
      <c r="E67" s="92" t="s">
        <v>6</v>
      </c>
      <c r="F67" s="93" t="s">
        <v>47</v>
      </c>
      <c r="G67" s="63"/>
      <c r="H67" s="94" t="s">
        <v>6</v>
      </c>
      <c r="I67" s="63"/>
      <c r="J67" s="65" t="str">
        <f>IF(OR(ISBLANK(G67),ISBLANK(I67)),"",IF(G67&gt;I67,1,IF(G67&lt;I67,2,"X")))</f>
        <v/>
      </c>
      <c r="K67" s="12">
        <v>1</v>
      </c>
      <c r="L67" s="13" t="str">
        <f>VLOOKUP(K67,$AR$67:$AW$70,2,FALSE)</f>
        <v>Polen</v>
      </c>
      <c r="M67" s="14">
        <f>VLOOKUP(L67,$AS$67:$AW$70,2,FALSE)</f>
        <v>0</v>
      </c>
      <c r="N67" s="14">
        <f>VLOOKUP(L67,$AS$67:$AW$70,3,FALSE)</f>
        <v>0</v>
      </c>
      <c r="O67" s="14">
        <f>VLOOKUP(L67,$AS$67:$AW$70,4,FALSE)</f>
        <v>0</v>
      </c>
      <c r="P67" s="15">
        <f>VLOOKUP(L67,$AS$67:$AW$70,5,FALSE)</f>
        <v>0</v>
      </c>
      <c r="X67" s="95" t="str">
        <f>D67</f>
        <v>Colombia</v>
      </c>
      <c r="Y67" s="96">
        <f t="shared" ref="Y67:Y72" si="142">IF(G67="",0,IF($G67&lt;$I67,0,IF($G67=$I67,1,3)))</f>
        <v>0</v>
      </c>
      <c r="Z67" s="96">
        <f t="shared" ref="Z67:Z72" si="143">G67</f>
        <v>0</v>
      </c>
      <c r="AA67" s="96">
        <f t="shared" ref="AA67:AA72" si="144">I67</f>
        <v>0</v>
      </c>
      <c r="AB67" s="95" t="str">
        <f>F67</f>
        <v>Japan</v>
      </c>
      <c r="AC67" s="96">
        <f t="shared" ref="AC67:AC72" si="145">IF(I67="",0,IF(I67&lt;G67,0,IF(I67=G67,1,3)))</f>
        <v>0</v>
      </c>
      <c r="AD67" s="77">
        <f t="shared" ref="AD67:AD72" si="146">I67</f>
        <v>0</v>
      </c>
      <c r="AE67" s="77">
        <f t="shared" ref="AE67:AE72" si="147">G67</f>
        <v>0</v>
      </c>
      <c r="AG67" s="76">
        <f>RANK($AH67,$AH$67:$AH$70,1)+COUNTIF($AH$67:$AH67,$AH67)-1</f>
        <v>1</v>
      </c>
      <c r="AH67" s="76">
        <f>AI67+AJ67+AK67</f>
        <v>1</v>
      </c>
      <c r="AI67" s="76">
        <f>SUMPRODUCT(($AM$67:$AM$70=AM67)*($AP$67:$AP$70=AP67)*($AN$67:$AN$70&gt;AN67))</f>
        <v>0</v>
      </c>
      <c r="AJ67" s="76">
        <f>SUMPRODUCT(($AM$67:$AM$70=AM67)*($AP$67:$AP$70&gt;AP67))</f>
        <v>0</v>
      </c>
      <c r="AK67" s="76">
        <f>RANK(AM67,$AM$67:$AM$70)</f>
        <v>1</v>
      </c>
      <c r="AL67" s="95" t="s">
        <v>175</v>
      </c>
      <c r="AM67" s="76">
        <f>SUMIF($X$67:$X$72,$AL67,$Y$67:$Y$72)+SUMIF($AB$67:$AB$72,$AL67,$AC$67:$AC$72)</f>
        <v>0</v>
      </c>
      <c r="AN67" s="76">
        <f>SUMIF($X$67:$X$72,$AL67,$Z$67:$Z$72)+SUMIF($AB$67:$AB$72,$AL67,$AD$67:$AD$72)</f>
        <v>0</v>
      </c>
      <c r="AO67" s="76">
        <f>SUMIF($X$67:$X$72,$AL67,$AA$67:$AA$72)+SUMIF($AB$67:$AB$72,$AL67,$AE$67:$AE$72)</f>
        <v>0</v>
      </c>
      <c r="AP67" s="76">
        <f>AN67-AO67</f>
        <v>0</v>
      </c>
      <c r="AR67" s="76">
        <v>1</v>
      </c>
      <c r="AS67" s="76" t="str">
        <f>VLOOKUP($AR67,$AG$67:$AP$70,6,FALSE)</f>
        <v>Polen</v>
      </c>
      <c r="AT67" s="76">
        <f>VLOOKUP($AS67,$AL$67:$AP$70,2,FALSE)</f>
        <v>0</v>
      </c>
      <c r="AU67" s="76">
        <f>VLOOKUP($AS67,$AL$67:$AP$70,3,FALSE)</f>
        <v>0</v>
      </c>
      <c r="AV67" s="76">
        <f>VLOOKUP($AS67,$AL$67:$AP$70,4,FALSE)</f>
        <v>0</v>
      </c>
      <c r="AW67" s="76">
        <f>VLOOKUP($AS67,$AL$67:$AP$70,5,FALSE)</f>
        <v>0</v>
      </c>
      <c r="AX67" s="97">
        <v>15</v>
      </c>
      <c r="AY67" s="108">
        <v>41807.541666666664</v>
      </c>
      <c r="AZ67" s="99" t="s">
        <v>77</v>
      </c>
      <c r="BA67" s="100" t="s">
        <v>6</v>
      </c>
      <c r="BB67" s="101" t="s">
        <v>78</v>
      </c>
      <c r="BC67" s="171" t="e">
        <f>IF(G67=#REF!,2,0)</f>
        <v>#REF!</v>
      </c>
      <c r="BD67" s="65" t="s">
        <v>6</v>
      </c>
      <c r="BE67" s="171" t="e">
        <f>IF(I67=#REF!,2,0)</f>
        <v>#REF!</v>
      </c>
      <c r="BF67" s="102" t="e">
        <f>IF(J67=#REF!,2,0)</f>
        <v>#REF!</v>
      </c>
      <c r="BG67" s="103" t="e">
        <f t="shared" ref="BG67:BG72" si="148">SUM(BC67+BE67+BF67)</f>
        <v>#REF!</v>
      </c>
      <c r="BH67" s="104"/>
      <c r="BI67" s="78"/>
      <c r="BJ67" s="49"/>
      <c r="BK67" s="49"/>
      <c r="BL67" s="49"/>
      <c r="BM67" s="49"/>
    </row>
    <row r="68" spans="2:65" ht="14.25" customHeight="1" x14ac:dyDescent="0.25">
      <c r="B68" s="16">
        <v>15</v>
      </c>
      <c r="C68" s="107">
        <v>43270</v>
      </c>
      <c r="D68" s="91" t="s">
        <v>175</v>
      </c>
      <c r="E68" s="92" t="s">
        <v>6</v>
      </c>
      <c r="F68" s="93" t="s">
        <v>176</v>
      </c>
      <c r="G68" s="63"/>
      <c r="H68" s="94" t="s">
        <v>6</v>
      </c>
      <c r="I68" s="63"/>
      <c r="J68" s="65" t="str">
        <f t="shared" ref="J68:J72" si="149">IF(OR(ISBLANK(G68),ISBLANK(I68)),"",IF(G68&gt;I68,1,IF(G68&lt;I68,2,"X")))</f>
        <v/>
      </c>
      <c r="K68" s="2">
        <v>2</v>
      </c>
      <c r="L68" s="17" t="str">
        <f>VLOOKUP(K68,$AR$67:$AW$70,2,FALSE)</f>
        <v>Senegal</v>
      </c>
      <c r="M68" s="18">
        <f>VLOOKUP(L68,$AS$67:$AW$70,2,FALSE)</f>
        <v>0</v>
      </c>
      <c r="N68" s="18">
        <f>VLOOKUP(L68,$AS$67:$AW$70,3,FALSE)</f>
        <v>0</v>
      </c>
      <c r="O68" s="18">
        <f>VLOOKUP(L68,$AS$67:$AW$70,4,FALSE)</f>
        <v>0</v>
      </c>
      <c r="P68" s="19">
        <f>VLOOKUP(L68,$AS$67:$AW$70,5,FALSE)</f>
        <v>0</v>
      </c>
      <c r="X68" s="95" t="str">
        <f t="shared" ref="X68:X72" si="150">D68</f>
        <v>Polen</v>
      </c>
      <c r="Y68" s="96">
        <f t="shared" si="142"/>
        <v>0</v>
      </c>
      <c r="Z68" s="96">
        <f t="shared" si="143"/>
        <v>0</v>
      </c>
      <c r="AA68" s="96">
        <f t="shared" si="144"/>
        <v>0</v>
      </c>
      <c r="AB68" s="95" t="str">
        <f t="shared" ref="AB68:AB72" si="151">F68</f>
        <v>Senegal</v>
      </c>
      <c r="AC68" s="96">
        <f t="shared" si="145"/>
        <v>0</v>
      </c>
      <c r="AD68" s="77">
        <f t="shared" si="146"/>
        <v>0</v>
      </c>
      <c r="AE68" s="77">
        <f t="shared" si="147"/>
        <v>0</v>
      </c>
      <c r="AG68" s="76">
        <f>RANK($AH68,$AH$67:$AH$70,1)+COUNTIF($AH$67:$AH68,$AH68)-1</f>
        <v>2</v>
      </c>
      <c r="AH68" s="76">
        <f>AI68+AJ68+AK68</f>
        <v>1</v>
      </c>
      <c r="AI68" s="76">
        <f t="shared" ref="AI68:AI70" si="152">SUMPRODUCT(($AM$67:$AM$70=AM68)*($AP$67:$AP$70=AP68)*($AN$67:$AN$70&gt;AN68))</f>
        <v>0</v>
      </c>
      <c r="AJ68" s="76">
        <f t="shared" ref="AJ68:AJ70" si="153">SUMPRODUCT(($AM$67:$AM$70=AM68)*($AP$67:$AP$70&gt;AP68))</f>
        <v>0</v>
      </c>
      <c r="AK68" s="76">
        <f t="shared" ref="AK68:AK70" si="154">RANK(AM68,$AM$67:$AM$70)</f>
        <v>1</v>
      </c>
      <c r="AL68" s="95" t="s">
        <v>176</v>
      </c>
      <c r="AM68" s="76">
        <f t="shared" ref="AM68:AM70" si="155">SUMIF($X$67:$X$72,$AL68,$Y$67:$Y$72)+SUMIF($AB$67:$AB$72,$AL68,$AC$67:$AC$72)</f>
        <v>0</v>
      </c>
      <c r="AN68" s="76">
        <f t="shared" ref="AN68:AN70" si="156">SUMIF($X$67:$X$72,$AL68,$Z$67:$Z$72)+SUMIF($AB$67:$AB$72,$AL68,$AD$67:$AD$72)</f>
        <v>0</v>
      </c>
      <c r="AO68" s="76">
        <f t="shared" ref="AO68:AO70" si="157">SUMIF($X$67:$X$72,$AL68,$AA$67:$AA$72)+SUMIF($AB$67:$AB$72,$AL68,$AE$67:$AE$72)</f>
        <v>0</v>
      </c>
      <c r="AP68" s="76">
        <f t="shared" ref="AP68:AP70" si="158">AN68-AO68</f>
        <v>0</v>
      </c>
      <c r="AR68" s="76">
        <v>2</v>
      </c>
      <c r="AS68" s="76" t="str">
        <f t="shared" ref="AS68:AS70" si="159">VLOOKUP($AR68,$AG$67:$AP$70,6,FALSE)</f>
        <v>Senegal</v>
      </c>
      <c r="AT68" s="76">
        <f t="shared" ref="AT68:AT70" si="160">VLOOKUP($AS68,$AL$67:$AP$70,2,FALSE)</f>
        <v>0</v>
      </c>
      <c r="AU68" s="76">
        <f t="shared" ref="AU68:AU70" si="161">VLOOKUP($AS68,$AL$67:$AP$70,3,FALSE)</f>
        <v>0</v>
      </c>
      <c r="AV68" s="76">
        <f t="shared" ref="AV68:AV70" si="162">VLOOKUP($AS68,$AL$67:$AP$70,4,FALSE)</f>
        <v>0</v>
      </c>
      <c r="AW68" s="76">
        <f t="shared" ref="AW68:AW70" si="163">VLOOKUP($AS68,$AL$67:$AP$70,5,FALSE)</f>
        <v>0</v>
      </c>
      <c r="AX68" s="97">
        <v>16</v>
      </c>
      <c r="AY68" s="108">
        <v>41807.75</v>
      </c>
      <c r="AZ68" s="99" t="s">
        <v>79</v>
      </c>
      <c r="BA68" s="100" t="s">
        <v>6</v>
      </c>
      <c r="BB68" s="101" t="s">
        <v>80</v>
      </c>
      <c r="BC68" s="171" t="e">
        <f>IF(G68=#REF!,2,0)</f>
        <v>#REF!</v>
      </c>
      <c r="BD68" s="65" t="s">
        <v>6</v>
      </c>
      <c r="BE68" s="171" t="e">
        <f>IF(I68=#REF!,2,0)</f>
        <v>#REF!</v>
      </c>
      <c r="BF68" s="102" t="e">
        <f>IF(J68=#REF!,2,0)</f>
        <v>#REF!</v>
      </c>
      <c r="BG68" s="103" t="e">
        <f t="shared" si="148"/>
        <v>#REF!</v>
      </c>
      <c r="BI68" s="78"/>
      <c r="BJ68" s="49"/>
      <c r="BK68" s="49"/>
      <c r="BL68" s="49"/>
      <c r="BM68" s="49"/>
    </row>
    <row r="69" spans="2:65" ht="14.25" customHeight="1" x14ac:dyDescent="0.25">
      <c r="B69" s="16">
        <v>32</v>
      </c>
      <c r="C69" s="107">
        <v>43275</v>
      </c>
      <c r="D69" s="91" t="s">
        <v>47</v>
      </c>
      <c r="E69" s="92" t="s">
        <v>6</v>
      </c>
      <c r="F69" s="93" t="s">
        <v>176</v>
      </c>
      <c r="G69" s="63"/>
      <c r="H69" s="94" t="s">
        <v>6</v>
      </c>
      <c r="I69" s="63"/>
      <c r="J69" s="65" t="str">
        <f t="shared" si="149"/>
        <v/>
      </c>
      <c r="K69" s="2">
        <v>3</v>
      </c>
      <c r="L69" s="158" t="str">
        <f>VLOOKUP(K69,$AR$67:$AW$70,2,FALSE)</f>
        <v>Colombia</v>
      </c>
      <c r="M69" s="32">
        <f>VLOOKUP(L69,$AS$67:$AW$70,2,FALSE)</f>
        <v>0</v>
      </c>
      <c r="N69" s="32">
        <f>VLOOKUP(L69,$AS$67:$AW$70,3,FALSE)</f>
        <v>0</v>
      </c>
      <c r="O69" s="32">
        <f>VLOOKUP(L69,$AS$67:$AW$70,4,FALSE)</f>
        <v>0</v>
      </c>
      <c r="P69" s="33">
        <f>VLOOKUP(L69,$AS$67:$AW$70,5,FALSE)</f>
        <v>0</v>
      </c>
      <c r="X69" s="95" t="str">
        <f t="shared" si="150"/>
        <v>Japan</v>
      </c>
      <c r="Y69" s="96">
        <f t="shared" si="142"/>
        <v>0</v>
      </c>
      <c r="Z69" s="96">
        <f t="shared" si="143"/>
        <v>0</v>
      </c>
      <c r="AA69" s="96">
        <f t="shared" si="144"/>
        <v>0</v>
      </c>
      <c r="AB69" s="95" t="str">
        <f t="shared" si="151"/>
        <v>Senegal</v>
      </c>
      <c r="AC69" s="96">
        <f t="shared" si="145"/>
        <v>0</v>
      </c>
      <c r="AD69" s="77">
        <f t="shared" si="146"/>
        <v>0</v>
      </c>
      <c r="AE69" s="77">
        <f t="shared" si="147"/>
        <v>0</v>
      </c>
      <c r="AG69" s="76">
        <f>RANK($AH69,$AH$67:$AH$70,1)+COUNTIF($AH$67:$AH69,$AH69)-1</f>
        <v>3</v>
      </c>
      <c r="AH69" s="76">
        <f>AI69+AJ69+AK69</f>
        <v>1</v>
      </c>
      <c r="AI69" s="76">
        <f t="shared" si="152"/>
        <v>0</v>
      </c>
      <c r="AJ69" s="76">
        <f t="shared" si="153"/>
        <v>0</v>
      </c>
      <c r="AK69" s="76">
        <f t="shared" si="154"/>
        <v>1</v>
      </c>
      <c r="AL69" s="95" t="s">
        <v>42</v>
      </c>
      <c r="AM69" s="76">
        <f t="shared" si="155"/>
        <v>0</v>
      </c>
      <c r="AN69" s="76">
        <f t="shared" si="156"/>
        <v>0</v>
      </c>
      <c r="AO69" s="76">
        <f t="shared" si="157"/>
        <v>0</v>
      </c>
      <c r="AP69" s="76">
        <f t="shared" si="158"/>
        <v>0</v>
      </c>
      <c r="AR69" s="76">
        <v>3</v>
      </c>
      <c r="AS69" s="76" t="str">
        <f t="shared" si="159"/>
        <v>Colombia</v>
      </c>
      <c r="AT69" s="76">
        <f t="shared" si="160"/>
        <v>0</v>
      </c>
      <c r="AU69" s="76">
        <f t="shared" si="161"/>
        <v>0</v>
      </c>
      <c r="AV69" s="76">
        <f t="shared" si="162"/>
        <v>0</v>
      </c>
      <c r="AW69" s="76">
        <f t="shared" si="163"/>
        <v>0</v>
      </c>
      <c r="AX69" s="97">
        <v>31</v>
      </c>
      <c r="AY69" s="108">
        <v>41812.541666666664</v>
      </c>
      <c r="AZ69" s="99" t="s">
        <v>77</v>
      </c>
      <c r="BA69" s="100" t="s">
        <v>6</v>
      </c>
      <c r="BB69" s="101" t="s">
        <v>79</v>
      </c>
      <c r="BC69" s="171" t="e">
        <f>IF(G69=#REF!,2,0)</f>
        <v>#REF!</v>
      </c>
      <c r="BD69" s="65" t="s">
        <v>6</v>
      </c>
      <c r="BE69" s="171" t="e">
        <f>IF(I69=#REF!,2,0)</f>
        <v>#REF!</v>
      </c>
      <c r="BF69" s="102" t="e">
        <f>IF(J69=#REF!,2,0)</f>
        <v>#REF!</v>
      </c>
      <c r="BG69" s="103" t="e">
        <f t="shared" si="148"/>
        <v>#REF!</v>
      </c>
      <c r="BI69" s="45"/>
      <c r="BJ69" s="49"/>
      <c r="BK69" s="49"/>
      <c r="BL69" s="49"/>
      <c r="BM69" s="49"/>
    </row>
    <row r="70" spans="2:65" ht="14.25" customHeight="1" x14ac:dyDescent="0.25">
      <c r="B70" s="16">
        <v>31</v>
      </c>
      <c r="C70" s="107">
        <v>43275</v>
      </c>
      <c r="D70" s="91" t="s">
        <v>175</v>
      </c>
      <c r="E70" s="92" t="s">
        <v>6</v>
      </c>
      <c r="F70" s="93" t="s">
        <v>42</v>
      </c>
      <c r="G70" s="63"/>
      <c r="H70" s="94" t="s">
        <v>6</v>
      </c>
      <c r="I70" s="63"/>
      <c r="J70" s="65" t="str">
        <f t="shared" si="149"/>
        <v/>
      </c>
      <c r="K70" s="2">
        <v>4</v>
      </c>
      <c r="L70" s="21" t="str">
        <f>VLOOKUP(K70,$AR$67:$AW$70,2,FALSE)</f>
        <v>Japan</v>
      </c>
      <c r="M70" s="18">
        <f>VLOOKUP(L70,$AS$67:$AW$70,2,FALSE)</f>
        <v>0</v>
      </c>
      <c r="N70" s="18">
        <f>VLOOKUP(L70,$AS$67:$AW$70,3,FALSE)</f>
        <v>0</v>
      </c>
      <c r="O70" s="18">
        <f>VLOOKUP(L70,$AS$67:$AW$70,4,FALSE)</f>
        <v>0</v>
      </c>
      <c r="P70" s="19">
        <f>VLOOKUP(L70,$AS$67:$AW$70,5,FALSE)</f>
        <v>0</v>
      </c>
      <c r="X70" s="95" t="str">
        <f t="shared" si="150"/>
        <v>Polen</v>
      </c>
      <c r="Y70" s="96">
        <f t="shared" si="142"/>
        <v>0</v>
      </c>
      <c r="Z70" s="96">
        <f t="shared" si="143"/>
        <v>0</v>
      </c>
      <c r="AA70" s="96">
        <f t="shared" si="144"/>
        <v>0</v>
      </c>
      <c r="AB70" s="95" t="str">
        <f t="shared" si="151"/>
        <v>Colombia</v>
      </c>
      <c r="AC70" s="96">
        <f t="shared" si="145"/>
        <v>0</v>
      </c>
      <c r="AD70" s="77">
        <f t="shared" si="146"/>
        <v>0</v>
      </c>
      <c r="AE70" s="77">
        <f t="shared" si="147"/>
        <v>0</v>
      </c>
      <c r="AG70" s="76">
        <f>RANK($AH70,$AH$67:$AH$70,1)+COUNTIF($AH$67:$AH70,$AH70)-1</f>
        <v>4</v>
      </c>
      <c r="AH70" s="76">
        <f>AI70+AJ70+AK70</f>
        <v>1</v>
      </c>
      <c r="AI70" s="76">
        <f t="shared" si="152"/>
        <v>0</v>
      </c>
      <c r="AJ70" s="76">
        <f t="shared" si="153"/>
        <v>0</v>
      </c>
      <c r="AK70" s="76">
        <f t="shared" si="154"/>
        <v>1</v>
      </c>
      <c r="AL70" s="95" t="s">
        <v>47</v>
      </c>
      <c r="AM70" s="76">
        <f t="shared" si="155"/>
        <v>0</v>
      </c>
      <c r="AN70" s="76">
        <f t="shared" si="156"/>
        <v>0</v>
      </c>
      <c r="AO70" s="76">
        <f t="shared" si="157"/>
        <v>0</v>
      </c>
      <c r="AP70" s="76">
        <f t="shared" si="158"/>
        <v>0</v>
      </c>
      <c r="AR70" s="76">
        <v>4</v>
      </c>
      <c r="AS70" s="76" t="str">
        <f t="shared" si="159"/>
        <v>Japan</v>
      </c>
      <c r="AT70" s="76">
        <f t="shared" si="160"/>
        <v>0</v>
      </c>
      <c r="AU70" s="76">
        <f t="shared" si="161"/>
        <v>0</v>
      </c>
      <c r="AV70" s="76">
        <f t="shared" si="162"/>
        <v>0</v>
      </c>
      <c r="AW70" s="76">
        <f t="shared" si="163"/>
        <v>0</v>
      </c>
      <c r="AX70" s="97">
        <v>32</v>
      </c>
      <c r="AY70" s="108">
        <v>41812.666666666664</v>
      </c>
      <c r="AZ70" s="99" t="s">
        <v>80</v>
      </c>
      <c r="BA70" s="100" t="s">
        <v>6</v>
      </c>
      <c r="BB70" s="101" t="s">
        <v>78</v>
      </c>
      <c r="BC70" s="171" t="e">
        <f>IF(G70=#REF!,2,0)</f>
        <v>#REF!</v>
      </c>
      <c r="BD70" s="65" t="s">
        <v>6</v>
      </c>
      <c r="BE70" s="171" t="e">
        <f>IF(I70=#REF!,2,0)</f>
        <v>#REF!</v>
      </c>
      <c r="BF70" s="102" t="e">
        <f>IF(J70=#REF!,2,0)</f>
        <v>#REF!</v>
      </c>
      <c r="BG70" s="103" t="e">
        <f t="shared" si="148"/>
        <v>#REF!</v>
      </c>
      <c r="BI70" s="45"/>
      <c r="BJ70" s="49"/>
      <c r="BK70" s="49"/>
      <c r="BL70" s="49"/>
      <c r="BM70" s="49"/>
    </row>
    <row r="71" spans="2:65" ht="14.25" customHeight="1" x14ac:dyDescent="0.25">
      <c r="B71" s="16">
        <v>47</v>
      </c>
      <c r="C71" s="107">
        <v>43279</v>
      </c>
      <c r="D71" s="91" t="s">
        <v>47</v>
      </c>
      <c r="E71" s="92" t="s">
        <v>6</v>
      </c>
      <c r="F71" s="93" t="s">
        <v>175</v>
      </c>
      <c r="G71" s="63"/>
      <c r="H71" s="94" t="s">
        <v>6</v>
      </c>
      <c r="I71" s="63"/>
      <c r="J71" s="65" t="str">
        <f t="shared" si="149"/>
        <v/>
      </c>
      <c r="X71" s="95" t="str">
        <f t="shared" si="150"/>
        <v>Japan</v>
      </c>
      <c r="Y71" s="96">
        <f t="shared" si="142"/>
        <v>0</v>
      </c>
      <c r="Z71" s="96">
        <f t="shared" si="143"/>
        <v>0</v>
      </c>
      <c r="AA71" s="96">
        <f t="shared" si="144"/>
        <v>0</v>
      </c>
      <c r="AB71" s="95" t="str">
        <f t="shared" si="151"/>
        <v>Polen</v>
      </c>
      <c r="AC71" s="96">
        <f t="shared" si="145"/>
        <v>0</v>
      </c>
      <c r="AD71" s="77">
        <f t="shared" si="146"/>
        <v>0</v>
      </c>
      <c r="AE71" s="77">
        <f t="shared" si="147"/>
        <v>0</v>
      </c>
      <c r="AX71" s="97">
        <v>47</v>
      </c>
      <c r="AY71" s="108">
        <v>41816.708333333336</v>
      </c>
      <c r="AZ71" s="99" t="s">
        <v>80</v>
      </c>
      <c r="BA71" s="100" t="s">
        <v>6</v>
      </c>
      <c r="BB71" s="101" t="s">
        <v>77</v>
      </c>
      <c r="BC71" s="171" t="e">
        <f>IF(G71=#REF!,2,0)</f>
        <v>#REF!</v>
      </c>
      <c r="BD71" s="65" t="s">
        <v>6</v>
      </c>
      <c r="BE71" s="171" t="e">
        <f>IF(I71=#REF!,2,0)</f>
        <v>#REF!</v>
      </c>
      <c r="BF71" s="102" t="e">
        <f>IF(J71=#REF!,2,0)</f>
        <v>#REF!</v>
      </c>
      <c r="BG71" s="103" t="e">
        <f t="shared" si="148"/>
        <v>#REF!</v>
      </c>
      <c r="BL71" s="83"/>
      <c r="BM71" s="83"/>
    </row>
    <row r="72" spans="2:65" ht="14.25" customHeight="1" x14ac:dyDescent="0.25">
      <c r="B72" s="16">
        <v>48</v>
      </c>
      <c r="C72" s="107">
        <v>43279</v>
      </c>
      <c r="D72" s="91" t="s">
        <v>176</v>
      </c>
      <c r="E72" s="92" t="s">
        <v>6</v>
      </c>
      <c r="F72" s="93" t="s">
        <v>42</v>
      </c>
      <c r="G72" s="63"/>
      <c r="H72" s="94" t="s">
        <v>6</v>
      </c>
      <c r="I72" s="63"/>
      <c r="J72" s="65" t="str">
        <f t="shared" si="149"/>
        <v/>
      </c>
      <c r="X72" s="95" t="str">
        <f t="shared" si="150"/>
        <v>Senegal</v>
      </c>
      <c r="Y72" s="96">
        <f t="shared" si="142"/>
        <v>0</v>
      </c>
      <c r="Z72" s="96">
        <f t="shared" si="143"/>
        <v>0</v>
      </c>
      <c r="AA72" s="96">
        <f t="shared" si="144"/>
        <v>0</v>
      </c>
      <c r="AB72" s="95" t="str">
        <f t="shared" si="151"/>
        <v>Colombia</v>
      </c>
      <c r="AC72" s="96">
        <f t="shared" si="145"/>
        <v>0</v>
      </c>
      <c r="AD72" s="77">
        <f t="shared" si="146"/>
        <v>0</v>
      </c>
      <c r="AE72" s="77">
        <f t="shared" si="147"/>
        <v>0</v>
      </c>
      <c r="AX72" s="97">
        <v>48</v>
      </c>
      <c r="AY72" s="108">
        <v>41816.708333333336</v>
      </c>
      <c r="AZ72" s="99" t="s">
        <v>78</v>
      </c>
      <c r="BA72" s="100" t="s">
        <v>6</v>
      </c>
      <c r="BB72" s="101" t="s">
        <v>79</v>
      </c>
      <c r="BC72" s="171" t="e">
        <f>IF(G72=#REF!,2,0)</f>
        <v>#REF!</v>
      </c>
      <c r="BD72" s="65" t="s">
        <v>6</v>
      </c>
      <c r="BE72" s="171" t="e">
        <f>IF(I72=#REF!,2,0)</f>
        <v>#REF!</v>
      </c>
      <c r="BF72" s="102" t="e">
        <f>IF(J72=#REF!,2,0)</f>
        <v>#REF!</v>
      </c>
      <c r="BG72" s="103" t="e">
        <f t="shared" si="148"/>
        <v>#REF!</v>
      </c>
    </row>
    <row r="73" spans="2:65" ht="14.25" customHeight="1" x14ac:dyDescent="0.25">
      <c r="J73" s="24"/>
      <c r="BG73" s="119"/>
    </row>
    <row r="74" spans="2:65" ht="14.25" customHeight="1" x14ac:dyDescent="0.25">
      <c r="B74" s="72" t="s">
        <v>1</v>
      </c>
      <c r="C74" s="38"/>
      <c r="D74" s="5"/>
      <c r="J74" s="24"/>
      <c r="X74" s="77"/>
      <c r="AX74" s="79" t="s">
        <v>1</v>
      </c>
      <c r="AY74" s="41"/>
      <c r="AZ74" s="82"/>
      <c r="BG74" s="119"/>
      <c r="BI74" s="147" t="s">
        <v>1</v>
      </c>
      <c r="BJ74" s="148"/>
      <c r="BK74" s="149"/>
      <c r="BL74" s="150"/>
      <c r="BM74" s="150"/>
    </row>
    <row r="75" spans="2:65" ht="14.25" customHeight="1" x14ac:dyDescent="0.25">
      <c r="B75" s="137" t="s">
        <v>2</v>
      </c>
      <c r="C75" s="129" t="s">
        <v>3</v>
      </c>
      <c r="D75" s="187" t="s">
        <v>2</v>
      </c>
      <c r="E75" s="188"/>
      <c r="F75" s="189"/>
      <c r="G75" s="188" t="s">
        <v>4</v>
      </c>
      <c r="H75" s="188"/>
      <c r="I75" s="188"/>
      <c r="J75" s="28" t="s">
        <v>81</v>
      </c>
      <c r="L75" s="39" t="s">
        <v>125</v>
      </c>
      <c r="M75" s="40"/>
      <c r="N75" s="24"/>
      <c r="O75" s="2"/>
      <c r="P75" s="2"/>
      <c r="X75" s="124" t="s">
        <v>2</v>
      </c>
      <c r="Y75" s="124"/>
      <c r="Z75" s="124"/>
      <c r="AA75" s="124"/>
      <c r="AB75" s="124"/>
      <c r="AX75" s="139" t="s">
        <v>2</v>
      </c>
      <c r="AY75" s="131" t="s">
        <v>3</v>
      </c>
      <c r="AZ75" s="190" t="s">
        <v>2</v>
      </c>
      <c r="BA75" s="191"/>
      <c r="BB75" s="192"/>
      <c r="BC75" s="191" t="s">
        <v>4</v>
      </c>
      <c r="BD75" s="191"/>
      <c r="BE75" s="191"/>
      <c r="BF75" s="69" t="s">
        <v>81</v>
      </c>
      <c r="BG75" s="28" t="s">
        <v>89</v>
      </c>
      <c r="BI75" s="1" t="s">
        <v>104</v>
      </c>
      <c r="BJ75" s="78" t="s">
        <v>103</v>
      </c>
      <c r="BK75" s="78" t="s">
        <v>105</v>
      </c>
      <c r="BL75" s="78" t="s">
        <v>106</v>
      </c>
      <c r="BM75" s="78" t="s">
        <v>89</v>
      </c>
    </row>
    <row r="76" spans="2:65" ht="14.25" customHeight="1" x14ac:dyDescent="0.25">
      <c r="B76" s="111">
        <v>50</v>
      </c>
      <c r="C76" s="151">
        <v>43281</v>
      </c>
      <c r="D76" s="152" t="str">
        <f>L22</f>
        <v>Frankrike</v>
      </c>
      <c r="E76" s="153" t="s">
        <v>6</v>
      </c>
      <c r="F76" s="154" t="str">
        <f>L32</f>
        <v>Island</v>
      </c>
      <c r="G76" s="63"/>
      <c r="H76" s="94" t="s">
        <v>6</v>
      </c>
      <c r="I76" s="63"/>
      <c r="J76" s="65" t="str">
        <f t="shared" ref="J76:J83" si="164">IF(OR(ISBLANK(G76),ISBLANK(I76)),"",IF(G76&gt;I76,1,IF(G76&lt;I76,2,"X")))</f>
        <v/>
      </c>
      <c r="L76" s="66"/>
      <c r="M76" s="40"/>
      <c r="N76" s="178"/>
      <c r="O76" s="2"/>
      <c r="P76" s="2"/>
      <c r="X76" s="96" t="s">
        <v>8</v>
      </c>
      <c r="AB76" s="95" t="s">
        <v>9</v>
      </c>
      <c r="AX76" s="112">
        <v>49</v>
      </c>
      <c r="AY76" s="113">
        <v>41818</v>
      </c>
      <c r="AZ76" s="99" t="str">
        <f t="shared" ref="AZ76:AZ83" si="165">D76</f>
        <v>Frankrike</v>
      </c>
      <c r="BA76" s="155" t="s">
        <v>6</v>
      </c>
      <c r="BB76" s="99" t="str">
        <f t="shared" ref="BB76:BB83" si="166">F76</f>
        <v>Island</v>
      </c>
      <c r="BC76" s="171" t="e">
        <f>IF(G76=#REF!,2,0)</f>
        <v>#REF!</v>
      </c>
      <c r="BD76" s="156" t="s">
        <v>6</v>
      </c>
      <c r="BE76" s="171" t="e">
        <f>IF(I76=#REF!,2,0)</f>
        <v>#REF!</v>
      </c>
      <c r="BF76" s="102" t="e">
        <f>IF(J76=#REF!,2,0)</f>
        <v>#REF!</v>
      </c>
      <c r="BG76" s="103" t="e">
        <f t="shared" ref="BG76:BG83" si="167">SUM(BC76+BE76+BF76)</f>
        <v>#REF!</v>
      </c>
      <c r="BI76" s="45" t="str">
        <f>AZ76</f>
        <v>Frankrike</v>
      </c>
      <c r="BJ76" s="45" t="e">
        <f>#REF!</f>
        <v>#REF!</v>
      </c>
      <c r="BK76" s="146" t="e">
        <f>VLOOKUP(BI76,$BJ$76:$BJ$91,1,FALSE)</f>
        <v>#N/A</v>
      </c>
      <c r="BL76" s="157" t="e">
        <f>BK76</f>
        <v>#N/A</v>
      </c>
      <c r="BM76" s="82">
        <f t="shared" ref="BM76:BM91" si="168">IFERROR(IF(BK76=BL76,5,0),0)</f>
        <v>0</v>
      </c>
    </row>
    <row r="77" spans="2:65" ht="14.25" customHeight="1" x14ac:dyDescent="0.25">
      <c r="B77" s="16">
        <v>49</v>
      </c>
      <c r="C77" s="107">
        <v>43281</v>
      </c>
      <c r="D77" s="152" t="str">
        <f>L4</f>
        <v>Ryssland</v>
      </c>
      <c r="E77" s="153" t="s">
        <v>6</v>
      </c>
      <c r="F77" s="154" t="str">
        <f>L14</f>
        <v>Spanien</v>
      </c>
      <c r="G77" s="63"/>
      <c r="H77" s="94" t="s">
        <v>6</v>
      </c>
      <c r="I77" s="63"/>
      <c r="J77" s="65" t="str">
        <f t="shared" si="164"/>
        <v/>
      </c>
      <c r="L77" s="66"/>
      <c r="M77" s="40"/>
      <c r="N77" s="146"/>
      <c r="O77" s="2"/>
      <c r="P77" s="2"/>
      <c r="X77" s="96" t="s">
        <v>12</v>
      </c>
      <c r="AB77" s="95" t="s">
        <v>13</v>
      </c>
      <c r="AX77" s="97">
        <v>50</v>
      </c>
      <c r="AY77" s="108">
        <v>41818.708333333336</v>
      </c>
      <c r="AZ77" s="99" t="str">
        <f t="shared" si="165"/>
        <v>Ryssland</v>
      </c>
      <c r="BA77" s="155" t="s">
        <v>6</v>
      </c>
      <c r="BB77" s="99" t="str">
        <f t="shared" si="166"/>
        <v>Spanien</v>
      </c>
      <c r="BC77" s="171" t="e">
        <f>IF(G77=#REF!,2,0)</f>
        <v>#REF!</v>
      </c>
      <c r="BD77" s="65" t="s">
        <v>6</v>
      </c>
      <c r="BE77" s="171" t="e">
        <f>IF(I77=#REF!,2,0)</f>
        <v>#REF!</v>
      </c>
      <c r="BF77" s="102" t="e">
        <f>IF(J77=#REF!,2,0)</f>
        <v>#REF!</v>
      </c>
      <c r="BG77" s="103" t="e">
        <f t="shared" si="167"/>
        <v>#REF!</v>
      </c>
      <c r="BI77" s="45" t="str">
        <f t="shared" ref="BI77:BI83" si="169">AZ77</f>
        <v>Ryssland</v>
      </c>
      <c r="BJ77" s="45" t="e">
        <f>#REF!</f>
        <v>#REF!</v>
      </c>
      <c r="BK77" s="146" t="e">
        <f t="shared" ref="BK77:BK91" si="170">VLOOKUP(BI77,$BJ$76:$BJ$91,1,FALSE)</f>
        <v>#N/A</v>
      </c>
      <c r="BL77" s="157" t="e">
        <f t="shared" ref="BL77:BL91" si="171">BK77</f>
        <v>#N/A</v>
      </c>
      <c r="BM77" s="82">
        <f t="shared" si="168"/>
        <v>0</v>
      </c>
    </row>
    <row r="78" spans="2:65" ht="14.25" customHeight="1" x14ac:dyDescent="0.25">
      <c r="B78" s="16">
        <v>51</v>
      </c>
      <c r="C78" s="107">
        <v>43282</v>
      </c>
      <c r="D78" s="152" t="str">
        <f>L13</f>
        <v>Portugal</v>
      </c>
      <c r="E78" s="153" t="s">
        <v>6</v>
      </c>
      <c r="F78" s="154" t="str">
        <f>L5</f>
        <v>Saudiarabien</v>
      </c>
      <c r="G78" s="63"/>
      <c r="H78" s="94" t="s">
        <v>6</v>
      </c>
      <c r="I78" s="63"/>
      <c r="J78" s="65" t="str">
        <f t="shared" si="164"/>
        <v/>
      </c>
      <c r="L78" s="66"/>
      <c r="M78" s="40"/>
      <c r="N78" s="146"/>
      <c r="O78" s="2"/>
      <c r="P78" s="2"/>
      <c r="X78" s="96" t="s">
        <v>14</v>
      </c>
      <c r="AB78" s="95" t="s">
        <v>15</v>
      </c>
      <c r="AX78" s="97">
        <v>51</v>
      </c>
      <c r="AY78" s="108">
        <v>41819.541666666664</v>
      </c>
      <c r="AZ78" s="99" t="str">
        <f t="shared" si="165"/>
        <v>Portugal</v>
      </c>
      <c r="BA78" s="155" t="s">
        <v>6</v>
      </c>
      <c r="BB78" s="99" t="str">
        <f t="shared" si="166"/>
        <v>Saudiarabien</v>
      </c>
      <c r="BC78" s="171" t="e">
        <f>IF(G78=#REF!,2,0)</f>
        <v>#REF!</v>
      </c>
      <c r="BD78" s="65" t="s">
        <v>6</v>
      </c>
      <c r="BE78" s="171" t="e">
        <f>IF(I78=#REF!,2,0)</f>
        <v>#REF!</v>
      </c>
      <c r="BF78" s="102" t="e">
        <f>IF(J78=#REF!,2,0)</f>
        <v>#REF!</v>
      </c>
      <c r="BG78" s="103" t="e">
        <f t="shared" si="167"/>
        <v>#REF!</v>
      </c>
      <c r="BI78" s="45" t="str">
        <f t="shared" si="169"/>
        <v>Portugal</v>
      </c>
      <c r="BJ78" s="45" t="e">
        <f>#REF!</f>
        <v>#REF!</v>
      </c>
      <c r="BK78" s="146" t="e">
        <f t="shared" si="170"/>
        <v>#N/A</v>
      </c>
      <c r="BL78" s="157" t="e">
        <f t="shared" si="171"/>
        <v>#N/A</v>
      </c>
      <c r="BM78" s="82">
        <f t="shared" si="168"/>
        <v>0</v>
      </c>
    </row>
    <row r="79" spans="2:65" ht="14.25" customHeight="1" x14ac:dyDescent="0.25">
      <c r="B79" s="16">
        <v>52</v>
      </c>
      <c r="C79" s="107">
        <v>43282</v>
      </c>
      <c r="D79" s="152" t="str">
        <f>L31</f>
        <v>Argentina</v>
      </c>
      <c r="E79" s="153" t="s">
        <v>6</v>
      </c>
      <c r="F79" s="154" t="str">
        <f>L23</f>
        <v>Australien</v>
      </c>
      <c r="G79" s="63"/>
      <c r="H79" s="94" t="s">
        <v>6</v>
      </c>
      <c r="I79" s="63"/>
      <c r="J79" s="65" t="str">
        <f t="shared" si="164"/>
        <v/>
      </c>
      <c r="L79" s="66"/>
      <c r="M79" s="40"/>
      <c r="N79" s="146"/>
      <c r="O79" s="2"/>
      <c r="P79" s="2"/>
      <c r="X79" s="96" t="s">
        <v>16</v>
      </c>
      <c r="AB79" s="95" t="s">
        <v>17</v>
      </c>
      <c r="AX79" s="97">
        <v>52</v>
      </c>
      <c r="AY79" s="108">
        <v>41819.708333333336</v>
      </c>
      <c r="AZ79" s="99" t="str">
        <f t="shared" si="165"/>
        <v>Argentina</v>
      </c>
      <c r="BA79" s="155" t="s">
        <v>6</v>
      </c>
      <c r="BB79" s="99" t="str">
        <f t="shared" si="166"/>
        <v>Australien</v>
      </c>
      <c r="BC79" s="171" t="e">
        <f>IF(G79=#REF!,2,0)</f>
        <v>#REF!</v>
      </c>
      <c r="BD79" s="65" t="s">
        <v>6</v>
      </c>
      <c r="BE79" s="171" t="e">
        <f>IF(I79=#REF!,2,0)</f>
        <v>#REF!</v>
      </c>
      <c r="BF79" s="102" t="e">
        <f>IF(J79=#REF!,2,0)</f>
        <v>#REF!</v>
      </c>
      <c r="BG79" s="103" t="e">
        <f t="shared" si="167"/>
        <v>#REF!</v>
      </c>
      <c r="BI79" s="45" t="str">
        <f t="shared" si="169"/>
        <v>Argentina</v>
      </c>
      <c r="BJ79" s="45" t="e">
        <f>#REF!</f>
        <v>#REF!</v>
      </c>
      <c r="BK79" s="146" t="e">
        <f t="shared" si="170"/>
        <v>#N/A</v>
      </c>
      <c r="BL79" s="157" t="e">
        <f t="shared" si="171"/>
        <v>#N/A</v>
      </c>
      <c r="BM79" s="82">
        <f t="shared" si="168"/>
        <v>0</v>
      </c>
    </row>
    <row r="80" spans="2:65" ht="14.25" customHeight="1" x14ac:dyDescent="0.25">
      <c r="B80" s="158">
        <v>53</v>
      </c>
      <c r="C80" s="159">
        <v>43283</v>
      </c>
      <c r="D80" s="152" t="str">
        <f>L40</f>
        <v>Brasilien</v>
      </c>
      <c r="E80" s="153" t="s">
        <v>6</v>
      </c>
      <c r="F80" s="154" t="str">
        <f>L50</f>
        <v>Mexico</v>
      </c>
      <c r="G80" s="63"/>
      <c r="H80" s="94" t="s">
        <v>6</v>
      </c>
      <c r="I80" s="63"/>
      <c r="J80" s="65" t="str">
        <f t="shared" si="164"/>
        <v/>
      </c>
      <c r="L80" s="66"/>
      <c r="M80" s="40"/>
      <c r="N80" s="146"/>
      <c r="O80" s="2"/>
      <c r="P80" s="2"/>
      <c r="X80" s="96" t="s">
        <v>18</v>
      </c>
      <c r="AB80" s="95" t="s">
        <v>19</v>
      </c>
      <c r="AX80" s="160">
        <v>53</v>
      </c>
      <c r="AY80" s="161">
        <v>41820.541666666664</v>
      </c>
      <c r="AZ80" s="99" t="str">
        <f t="shared" si="165"/>
        <v>Brasilien</v>
      </c>
      <c r="BA80" s="155" t="s">
        <v>6</v>
      </c>
      <c r="BB80" s="99" t="str">
        <f t="shared" si="166"/>
        <v>Mexico</v>
      </c>
      <c r="BC80" s="171" t="e">
        <f>IF(G80=#REF!,2,0)</f>
        <v>#REF!</v>
      </c>
      <c r="BD80" s="65" t="s">
        <v>6</v>
      </c>
      <c r="BE80" s="171" t="e">
        <f>IF(I80=#REF!,2,0)</f>
        <v>#REF!</v>
      </c>
      <c r="BF80" s="102" t="e">
        <f>IF(J80=#REF!,2,0)</f>
        <v>#REF!</v>
      </c>
      <c r="BG80" s="103" t="e">
        <f t="shared" si="167"/>
        <v>#REF!</v>
      </c>
      <c r="BI80" s="45" t="str">
        <f t="shared" si="169"/>
        <v>Brasilien</v>
      </c>
      <c r="BJ80" s="45" t="e">
        <f>#REF!</f>
        <v>#REF!</v>
      </c>
      <c r="BK80" s="146" t="e">
        <f t="shared" si="170"/>
        <v>#N/A</v>
      </c>
      <c r="BL80" s="157" t="e">
        <f t="shared" si="171"/>
        <v>#N/A</v>
      </c>
      <c r="BM80" s="82">
        <f t="shared" si="168"/>
        <v>0</v>
      </c>
    </row>
    <row r="81" spans="2:65" ht="14.25" customHeight="1" x14ac:dyDescent="0.25">
      <c r="B81" s="16">
        <v>54</v>
      </c>
      <c r="C81" s="159">
        <v>43283</v>
      </c>
      <c r="D81" s="152" t="str">
        <f>L58</f>
        <v>Belgien</v>
      </c>
      <c r="E81" s="153" t="s">
        <v>6</v>
      </c>
      <c r="F81" s="154" t="str">
        <f>L68</f>
        <v>Senegal</v>
      </c>
      <c r="G81" s="63"/>
      <c r="H81" s="94" t="s">
        <v>6</v>
      </c>
      <c r="I81" s="63"/>
      <c r="J81" s="65" t="str">
        <f t="shared" si="164"/>
        <v/>
      </c>
      <c r="L81" s="66"/>
      <c r="M81" s="40"/>
      <c r="N81" s="146"/>
      <c r="O81" s="2"/>
      <c r="P81" s="2"/>
      <c r="X81" s="96" t="s">
        <v>20</v>
      </c>
      <c r="AB81" s="95" t="s">
        <v>21</v>
      </c>
      <c r="AX81" s="97">
        <v>54</v>
      </c>
      <c r="AY81" s="108">
        <v>41820.708333333336</v>
      </c>
      <c r="AZ81" s="99" t="str">
        <f t="shared" si="165"/>
        <v>Belgien</v>
      </c>
      <c r="BA81" s="155" t="s">
        <v>6</v>
      </c>
      <c r="BB81" s="99" t="str">
        <f t="shared" si="166"/>
        <v>Senegal</v>
      </c>
      <c r="BC81" s="171" t="e">
        <f>IF(G81=#REF!,2,0)</f>
        <v>#REF!</v>
      </c>
      <c r="BD81" s="65" t="s">
        <v>6</v>
      </c>
      <c r="BE81" s="171" t="e">
        <f>IF(I81=#REF!,2,0)</f>
        <v>#REF!</v>
      </c>
      <c r="BF81" s="102" t="e">
        <f>IF(J81=#REF!,2,0)</f>
        <v>#REF!</v>
      </c>
      <c r="BG81" s="103" t="e">
        <f t="shared" si="167"/>
        <v>#REF!</v>
      </c>
      <c r="BI81" s="45" t="str">
        <f t="shared" si="169"/>
        <v>Belgien</v>
      </c>
      <c r="BJ81" s="45" t="e">
        <f>#REF!</f>
        <v>#REF!</v>
      </c>
      <c r="BK81" s="146" t="e">
        <f t="shared" si="170"/>
        <v>#N/A</v>
      </c>
      <c r="BL81" s="157" t="e">
        <f t="shared" si="171"/>
        <v>#N/A</v>
      </c>
      <c r="BM81" s="82">
        <f t="shared" si="168"/>
        <v>0</v>
      </c>
    </row>
    <row r="82" spans="2:65" ht="14.25" customHeight="1" x14ac:dyDescent="0.25">
      <c r="B82" s="16">
        <v>55</v>
      </c>
      <c r="C82" s="107">
        <v>43284</v>
      </c>
      <c r="D82" s="152" t="str">
        <f>L49</f>
        <v>Tyskland</v>
      </c>
      <c r="E82" s="153" t="s">
        <v>6</v>
      </c>
      <c r="F82" s="154" t="str">
        <f>L41</f>
        <v>Schweiz</v>
      </c>
      <c r="G82" s="63"/>
      <c r="H82" s="94" t="s">
        <v>6</v>
      </c>
      <c r="I82" s="63"/>
      <c r="J82" s="65" t="str">
        <f t="shared" si="164"/>
        <v/>
      </c>
      <c r="L82" s="66"/>
      <c r="M82" s="40"/>
      <c r="N82" s="146"/>
      <c r="O82" s="2"/>
      <c r="P82" s="2"/>
      <c r="X82" s="96" t="s">
        <v>22</v>
      </c>
      <c r="AB82" s="95" t="s">
        <v>23</v>
      </c>
      <c r="AX82" s="97">
        <v>55</v>
      </c>
      <c r="AY82" s="108">
        <v>41821</v>
      </c>
      <c r="AZ82" s="99" t="str">
        <f t="shared" si="165"/>
        <v>Tyskland</v>
      </c>
      <c r="BA82" s="155" t="s">
        <v>6</v>
      </c>
      <c r="BB82" s="99" t="str">
        <f t="shared" si="166"/>
        <v>Schweiz</v>
      </c>
      <c r="BC82" s="171" t="e">
        <f>IF(G82=#REF!,2,0)</f>
        <v>#REF!</v>
      </c>
      <c r="BD82" s="49" t="s">
        <v>6</v>
      </c>
      <c r="BE82" s="171" t="e">
        <f>IF(I82=#REF!,2,0)</f>
        <v>#REF!</v>
      </c>
      <c r="BF82" s="102" t="e">
        <f>IF(J82=#REF!,2,0)</f>
        <v>#REF!</v>
      </c>
      <c r="BG82" s="103" t="e">
        <f t="shared" si="167"/>
        <v>#REF!</v>
      </c>
      <c r="BI82" s="45" t="str">
        <f t="shared" si="169"/>
        <v>Tyskland</v>
      </c>
      <c r="BJ82" s="45" t="e">
        <f>#REF!</f>
        <v>#REF!</v>
      </c>
      <c r="BK82" s="146" t="e">
        <f t="shared" si="170"/>
        <v>#N/A</v>
      </c>
      <c r="BL82" s="157" t="e">
        <f t="shared" si="171"/>
        <v>#N/A</v>
      </c>
      <c r="BM82" s="82">
        <f t="shared" si="168"/>
        <v>0</v>
      </c>
    </row>
    <row r="83" spans="2:65" ht="14.25" customHeight="1" x14ac:dyDescent="0.25">
      <c r="B83" s="16">
        <v>56</v>
      </c>
      <c r="C83" s="107">
        <v>43284</v>
      </c>
      <c r="D83" s="152" t="str">
        <f>L67</f>
        <v>Polen</v>
      </c>
      <c r="E83" s="153" t="s">
        <v>6</v>
      </c>
      <c r="F83" s="154" t="str">
        <f>L59</f>
        <v>Panama</v>
      </c>
      <c r="G83" s="63"/>
      <c r="H83" s="94" t="s">
        <v>6</v>
      </c>
      <c r="I83" s="63"/>
      <c r="J83" s="65" t="str">
        <f t="shared" si="164"/>
        <v/>
      </c>
      <c r="L83" s="66"/>
      <c r="M83" s="40"/>
      <c r="N83" s="146"/>
      <c r="O83" s="2"/>
      <c r="P83" s="2"/>
      <c r="X83" s="96" t="s">
        <v>25</v>
      </c>
      <c r="AB83" s="95" t="s">
        <v>26</v>
      </c>
      <c r="AX83" s="97">
        <v>56</v>
      </c>
      <c r="AY83" s="108">
        <v>41821</v>
      </c>
      <c r="AZ83" s="99" t="str">
        <f t="shared" si="165"/>
        <v>Polen</v>
      </c>
      <c r="BA83" s="155" t="s">
        <v>6</v>
      </c>
      <c r="BB83" s="99" t="str">
        <f t="shared" si="166"/>
        <v>Panama</v>
      </c>
      <c r="BC83" s="171" t="e">
        <f>IF(G83=#REF!,2,0)</f>
        <v>#REF!</v>
      </c>
      <c r="BD83" s="65" t="s">
        <v>6</v>
      </c>
      <c r="BE83" s="171" t="e">
        <f>IF(I83=#REF!,2,0)</f>
        <v>#REF!</v>
      </c>
      <c r="BF83" s="102" t="e">
        <f>IF(J83=#REF!,2,0)</f>
        <v>#REF!</v>
      </c>
      <c r="BG83" s="103" t="e">
        <f t="shared" si="167"/>
        <v>#REF!</v>
      </c>
      <c r="BI83" s="45" t="str">
        <f t="shared" si="169"/>
        <v>Polen</v>
      </c>
      <c r="BJ83" s="45" t="e">
        <f>#REF!</f>
        <v>#REF!</v>
      </c>
      <c r="BK83" s="146" t="e">
        <f t="shared" si="170"/>
        <v>#N/A</v>
      </c>
      <c r="BL83" s="157" t="e">
        <f t="shared" si="171"/>
        <v>#N/A</v>
      </c>
      <c r="BM83" s="82">
        <f t="shared" si="168"/>
        <v>0</v>
      </c>
    </row>
    <row r="84" spans="2:65" ht="14.25" customHeight="1" x14ac:dyDescent="0.25">
      <c r="B84" s="4"/>
      <c r="C84" s="162"/>
      <c r="D84" s="4"/>
      <c r="E84" s="4"/>
      <c r="F84" s="4"/>
      <c r="G84" s="32"/>
      <c r="H84" s="32"/>
      <c r="I84" s="32"/>
      <c r="J84" s="24"/>
      <c r="L84" s="118"/>
      <c r="M84" s="40"/>
      <c r="N84" s="146"/>
      <c r="O84" s="2"/>
      <c r="P84" s="2"/>
      <c r="X84" s="96"/>
      <c r="AX84" s="83"/>
      <c r="AY84" s="163"/>
      <c r="AZ84" s="83"/>
      <c r="BA84" s="83"/>
      <c r="BB84" s="83"/>
      <c r="BC84" s="49"/>
      <c r="BD84" s="49"/>
      <c r="BE84" s="49"/>
      <c r="BF84" s="49"/>
      <c r="BG84" s="119"/>
      <c r="BI84" s="45" t="str">
        <f t="shared" ref="BI84:BI91" si="172">BB76</f>
        <v>Island</v>
      </c>
      <c r="BJ84" s="45" t="e">
        <f>#REF!</f>
        <v>#REF!</v>
      </c>
      <c r="BK84" s="146" t="e">
        <f t="shared" si="170"/>
        <v>#N/A</v>
      </c>
      <c r="BL84" s="157" t="e">
        <f t="shared" si="171"/>
        <v>#N/A</v>
      </c>
      <c r="BM84" s="82">
        <f t="shared" si="168"/>
        <v>0</v>
      </c>
    </row>
    <row r="85" spans="2:65" ht="14.25" customHeight="1" x14ac:dyDescent="0.25">
      <c r="B85" s="72" t="s">
        <v>29</v>
      </c>
      <c r="C85" s="38"/>
      <c r="D85" s="5"/>
      <c r="J85" s="24"/>
      <c r="L85" s="118"/>
      <c r="M85" s="40"/>
      <c r="N85" s="146"/>
      <c r="O85" s="2"/>
      <c r="P85" s="2"/>
      <c r="X85" s="77"/>
      <c r="AX85" s="79" t="s">
        <v>29</v>
      </c>
      <c r="AY85" s="41"/>
      <c r="AZ85" s="82"/>
      <c r="BG85" s="119"/>
      <c r="BI85" s="45" t="str">
        <f t="shared" si="172"/>
        <v>Spanien</v>
      </c>
      <c r="BJ85" s="45" t="e">
        <f>#REF!</f>
        <v>#REF!</v>
      </c>
      <c r="BK85" s="146" t="e">
        <f t="shared" si="170"/>
        <v>#N/A</v>
      </c>
      <c r="BL85" s="157" t="e">
        <f t="shared" si="171"/>
        <v>#N/A</v>
      </c>
      <c r="BM85" s="82">
        <f t="shared" si="168"/>
        <v>0</v>
      </c>
    </row>
    <row r="86" spans="2:65" ht="14.25" customHeight="1" x14ac:dyDescent="0.25">
      <c r="B86" s="137" t="s">
        <v>2</v>
      </c>
      <c r="C86" s="129" t="s">
        <v>3</v>
      </c>
      <c r="D86" s="187" t="s">
        <v>2</v>
      </c>
      <c r="E86" s="188"/>
      <c r="F86" s="189"/>
      <c r="G86" s="188" t="s">
        <v>4</v>
      </c>
      <c r="H86" s="188"/>
      <c r="I86" s="188"/>
      <c r="J86" s="28" t="s">
        <v>81</v>
      </c>
      <c r="L86" s="43" t="s">
        <v>124</v>
      </c>
      <c r="M86" s="40"/>
      <c r="N86" s="24"/>
      <c r="O86" s="2"/>
      <c r="P86" s="2"/>
      <c r="X86" s="124" t="s">
        <v>2</v>
      </c>
      <c r="Y86" s="124"/>
      <c r="Z86" s="124"/>
      <c r="AA86" s="124"/>
      <c r="AB86" s="124"/>
      <c r="AX86" s="139" t="s">
        <v>2</v>
      </c>
      <c r="AY86" s="131" t="s">
        <v>3</v>
      </c>
      <c r="AZ86" s="190" t="s">
        <v>2</v>
      </c>
      <c r="BA86" s="191"/>
      <c r="BB86" s="192"/>
      <c r="BC86" s="191" t="s">
        <v>4</v>
      </c>
      <c r="BD86" s="191"/>
      <c r="BE86" s="191"/>
      <c r="BF86" s="69" t="s">
        <v>81</v>
      </c>
      <c r="BG86" s="28" t="s">
        <v>89</v>
      </c>
      <c r="BI86" s="45" t="str">
        <f t="shared" si="172"/>
        <v>Saudiarabien</v>
      </c>
      <c r="BJ86" s="45" t="e">
        <f>#REF!</f>
        <v>#REF!</v>
      </c>
      <c r="BK86" s="146" t="e">
        <f t="shared" si="170"/>
        <v>#N/A</v>
      </c>
      <c r="BL86" s="157" t="e">
        <f t="shared" si="171"/>
        <v>#N/A</v>
      </c>
      <c r="BM86" s="82">
        <f t="shared" si="168"/>
        <v>0</v>
      </c>
    </row>
    <row r="87" spans="2:65" ht="14.25" customHeight="1" x14ac:dyDescent="0.25">
      <c r="B87" s="16">
        <v>57</v>
      </c>
      <c r="C87" s="107">
        <v>43287</v>
      </c>
      <c r="D87" s="152" t="str">
        <f>IF(L77="","Vinnare match 49",L77)</f>
        <v>Vinnare match 49</v>
      </c>
      <c r="E87" s="153" t="s">
        <v>6</v>
      </c>
      <c r="F87" s="154" t="str">
        <f>IF(L76="","Vinnare match 50",L76)</f>
        <v>Vinnare match 50</v>
      </c>
      <c r="G87" s="63"/>
      <c r="H87" s="94" t="s">
        <v>6</v>
      </c>
      <c r="I87" s="63"/>
      <c r="J87" s="65" t="str">
        <f t="shared" ref="J87:J90" si="173">IF(OR(ISBLANK(G87),ISBLANK(I87)),"",IF(G87&gt;I87,1,IF(G87&lt;I87,2,"X")))</f>
        <v/>
      </c>
      <c r="L87" s="66"/>
      <c r="M87" s="40"/>
      <c r="N87" s="178"/>
      <c r="O87" s="2"/>
      <c r="P87" s="2"/>
      <c r="X87" s="96" t="s">
        <v>32</v>
      </c>
      <c r="AB87" s="95" t="s">
        <v>33</v>
      </c>
      <c r="AX87" s="97">
        <v>57</v>
      </c>
      <c r="AY87" s="108">
        <v>41824</v>
      </c>
      <c r="AZ87" s="99" t="str">
        <f>D87</f>
        <v>Vinnare match 49</v>
      </c>
      <c r="BA87" s="155" t="s">
        <v>6</v>
      </c>
      <c r="BB87" s="99" t="str">
        <f>F87</f>
        <v>Vinnare match 50</v>
      </c>
      <c r="BC87" s="171" t="e">
        <f>IF(G87=#REF!,2,0)</f>
        <v>#REF!</v>
      </c>
      <c r="BD87" s="65" t="s">
        <v>6</v>
      </c>
      <c r="BE87" s="171" t="e">
        <f>IF(I87=#REF!,2,0)</f>
        <v>#REF!</v>
      </c>
      <c r="BF87" s="102" t="e">
        <f>IF(J87=#REF!,2,0)</f>
        <v>#REF!</v>
      </c>
      <c r="BG87" s="103" t="e">
        <f t="shared" ref="BG87:BG90" si="174">SUM(BC87+BE87+BF87)</f>
        <v>#REF!</v>
      </c>
      <c r="BI87" s="45" t="str">
        <f t="shared" si="172"/>
        <v>Australien</v>
      </c>
      <c r="BJ87" s="45" t="e">
        <f>#REF!</f>
        <v>#REF!</v>
      </c>
      <c r="BK87" s="146" t="e">
        <f t="shared" si="170"/>
        <v>#N/A</v>
      </c>
      <c r="BL87" s="157" t="e">
        <f t="shared" si="171"/>
        <v>#N/A</v>
      </c>
      <c r="BM87" s="82">
        <f t="shared" si="168"/>
        <v>0</v>
      </c>
    </row>
    <row r="88" spans="2:65" ht="14.25" customHeight="1" x14ac:dyDescent="0.25">
      <c r="B88" s="16">
        <v>58</v>
      </c>
      <c r="C88" s="107">
        <v>43287</v>
      </c>
      <c r="D88" s="152" t="str">
        <f>IF(L80="","Vinnare match 53",L80)</f>
        <v>Vinnare match 53</v>
      </c>
      <c r="E88" s="153" t="s">
        <v>6</v>
      </c>
      <c r="F88" s="154" t="str">
        <f>IF(L81="","Vinnare match 54",L81)</f>
        <v>Vinnare match 54</v>
      </c>
      <c r="G88" s="63"/>
      <c r="H88" s="94" t="s">
        <v>6</v>
      </c>
      <c r="I88" s="63"/>
      <c r="J88" s="65" t="str">
        <f t="shared" si="173"/>
        <v/>
      </c>
      <c r="L88" s="66"/>
      <c r="M88" s="40"/>
      <c r="N88" s="46"/>
      <c r="O88" s="2"/>
      <c r="P88" s="2"/>
      <c r="X88" s="96" t="s">
        <v>34</v>
      </c>
      <c r="AB88" s="95" t="s">
        <v>35</v>
      </c>
      <c r="AX88" s="97">
        <v>58</v>
      </c>
      <c r="AY88" s="108">
        <v>41824</v>
      </c>
      <c r="AZ88" s="99" t="str">
        <f>D88</f>
        <v>Vinnare match 53</v>
      </c>
      <c r="BA88" s="155" t="s">
        <v>6</v>
      </c>
      <c r="BB88" s="99" t="str">
        <f>F88</f>
        <v>Vinnare match 54</v>
      </c>
      <c r="BC88" s="171" t="e">
        <f>IF(G88=#REF!,2,0)</f>
        <v>#REF!</v>
      </c>
      <c r="BD88" s="65" t="s">
        <v>6</v>
      </c>
      <c r="BE88" s="171" t="e">
        <f>IF(I88=#REF!,2,0)</f>
        <v>#REF!</v>
      </c>
      <c r="BF88" s="102" t="e">
        <f>IF(J88=#REF!,2,0)</f>
        <v>#REF!</v>
      </c>
      <c r="BG88" s="103" t="e">
        <f t="shared" si="174"/>
        <v>#REF!</v>
      </c>
      <c r="BI88" s="45" t="str">
        <f t="shared" si="172"/>
        <v>Mexico</v>
      </c>
      <c r="BJ88" s="45" t="e">
        <f>#REF!</f>
        <v>#REF!</v>
      </c>
      <c r="BK88" s="146" t="e">
        <f t="shared" si="170"/>
        <v>#N/A</v>
      </c>
      <c r="BL88" s="157" t="e">
        <f t="shared" si="171"/>
        <v>#N/A</v>
      </c>
      <c r="BM88" s="82">
        <f t="shared" si="168"/>
        <v>0</v>
      </c>
    </row>
    <row r="89" spans="2:65" ht="14.25" customHeight="1" x14ac:dyDescent="0.25">
      <c r="B89" s="16">
        <v>59</v>
      </c>
      <c r="C89" s="107">
        <v>43288</v>
      </c>
      <c r="D89" s="152" t="str">
        <f>IF(L78="","Vinnare match 51",L78)</f>
        <v>Vinnare match 51</v>
      </c>
      <c r="E89" s="153" t="s">
        <v>6</v>
      </c>
      <c r="F89" s="154" t="str">
        <f>IF(L79="","Vinnare match 52",L79)</f>
        <v>Vinnare match 52</v>
      </c>
      <c r="G89" s="63"/>
      <c r="H89" s="94" t="s">
        <v>6</v>
      </c>
      <c r="I89" s="63"/>
      <c r="J89" s="65" t="str">
        <f t="shared" si="173"/>
        <v/>
      </c>
      <c r="L89" s="66"/>
      <c r="M89" s="40"/>
      <c r="N89" s="46"/>
      <c r="O89" s="2"/>
      <c r="P89" s="2"/>
      <c r="X89" s="96" t="s">
        <v>36</v>
      </c>
      <c r="AB89" s="95" t="s">
        <v>37</v>
      </c>
      <c r="AX89" s="97">
        <v>59</v>
      </c>
      <c r="AY89" s="108">
        <v>41825</v>
      </c>
      <c r="AZ89" s="99" t="str">
        <f>D89</f>
        <v>Vinnare match 51</v>
      </c>
      <c r="BA89" s="155" t="s">
        <v>6</v>
      </c>
      <c r="BB89" s="99" t="str">
        <f>F89</f>
        <v>Vinnare match 52</v>
      </c>
      <c r="BC89" s="171" t="e">
        <f>IF(G89=#REF!,2,0)</f>
        <v>#REF!</v>
      </c>
      <c r="BD89" s="65" t="s">
        <v>6</v>
      </c>
      <c r="BE89" s="171" t="e">
        <f>IF(I89=#REF!,2,0)</f>
        <v>#REF!</v>
      </c>
      <c r="BF89" s="102" t="e">
        <f>IF(J89=#REF!,2,0)</f>
        <v>#REF!</v>
      </c>
      <c r="BG89" s="103" t="e">
        <f t="shared" si="174"/>
        <v>#REF!</v>
      </c>
      <c r="BI89" s="45" t="str">
        <f t="shared" si="172"/>
        <v>Senegal</v>
      </c>
      <c r="BJ89" s="45" t="e">
        <f>#REF!</f>
        <v>#REF!</v>
      </c>
      <c r="BK89" s="146" t="e">
        <f t="shared" si="170"/>
        <v>#N/A</v>
      </c>
      <c r="BL89" s="157" t="e">
        <f t="shared" si="171"/>
        <v>#N/A</v>
      </c>
      <c r="BM89" s="82">
        <f t="shared" si="168"/>
        <v>0</v>
      </c>
    </row>
    <row r="90" spans="2:65" ht="14.25" customHeight="1" x14ac:dyDescent="0.25">
      <c r="B90" s="16">
        <v>60</v>
      </c>
      <c r="C90" s="107">
        <v>43288</v>
      </c>
      <c r="D90" s="152" t="str">
        <f>IF(L82="","Vinnare match 55",L82)</f>
        <v>Vinnare match 55</v>
      </c>
      <c r="E90" s="153" t="s">
        <v>6</v>
      </c>
      <c r="F90" s="154" t="str">
        <f>IF(L83="","Vinnare match 56",L83)</f>
        <v>Vinnare match 56</v>
      </c>
      <c r="G90" s="63"/>
      <c r="H90" s="94" t="s">
        <v>6</v>
      </c>
      <c r="I90" s="63"/>
      <c r="J90" s="65" t="str">
        <f t="shared" si="173"/>
        <v/>
      </c>
      <c r="L90" s="66"/>
      <c r="M90" s="40"/>
      <c r="N90" s="46"/>
      <c r="O90" s="2"/>
      <c r="P90" s="2"/>
      <c r="X90" s="96" t="s">
        <v>38</v>
      </c>
      <c r="AB90" s="95" t="s">
        <v>39</v>
      </c>
      <c r="AX90" s="97">
        <v>60</v>
      </c>
      <c r="AY90" s="108">
        <v>41825</v>
      </c>
      <c r="AZ90" s="99" t="str">
        <f>D90</f>
        <v>Vinnare match 55</v>
      </c>
      <c r="BA90" s="155" t="s">
        <v>6</v>
      </c>
      <c r="BB90" s="99" t="str">
        <f>F90</f>
        <v>Vinnare match 56</v>
      </c>
      <c r="BC90" s="171" t="e">
        <f>IF(G90=#REF!,2,0)</f>
        <v>#REF!</v>
      </c>
      <c r="BD90" s="65" t="s">
        <v>6</v>
      </c>
      <c r="BE90" s="171" t="e">
        <f>IF(I90=#REF!,2,0)</f>
        <v>#REF!</v>
      </c>
      <c r="BF90" s="102" t="e">
        <f>IF(J90=#REF!,2,0)</f>
        <v>#REF!</v>
      </c>
      <c r="BG90" s="103" t="e">
        <f t="shared" si="174"/>
        <v>#REF!</v>
      </c>
      <c r="BI90" s="45" t="str">
        <f t="shared" si="172"/>
        <v>Schweiz</v>
      </c>
      <c r="BJ90" s="45" t="e">
        <f>#REF!</f>
        <v>#REF!</v>
      </c>
      <c r="BK90" s="146" t="e">
        <f t="shared" si="170"/>
        <v>#N/A</v>
      </c>
      <c r="BL90" s="157" t="e">
        <f t="shared" si="171"/>
        <v>#N/A</v>
      </c>
      <c r="BM90" s="82">
        <f t="shared" si="168"/>
        <v>0</v>
      </c>
    </row>
    <row r="91" spans="2:65" ht="14.25" customHeight="1" x14ac:dyDescent="0.25">
      <c r="B91" s="37"/>
      <c r="C91" s="38"/>
      <c r="D91" s="5"/>
      <c r="J91" s="24"/>
      <c r="L91" s="118"/>
      <c r="M91" s="40"/>
      <c r="N91" s="46"/>
      <c r="O91" s="2"/>
      <c r="P91" s="2"/>
      <c r="X91" s="77"/>
      <c r="AX91" s="42"/>
      <c r="AY91" s="41"/>
      <c r="AZ91" s="82"/>
      <c r="BG91" s="119"/>
      <c r="BI91" s="45" t="str">
        <f t="shared" si="172"/>
        <v>Panama</v>
      </c>
      <c r="BJ91" s="45" t="e">
        <f>#REF!</f>
        <v>#REF!</v>
      </c>
      <c r="BK91" s="146" t="e">
        <f t="shared" si="170"/>
        <v>#N/A</v>
      </c>
      <c r="BL91" s="157" t="e">
        <f t="shared" si="171"/>
        <v>#N/A</v>
      </c>
      <c r="BM91" s="82">
        <f t="shared" si="168"/>
        <v>0</v>
      </c>
    </row>
    <row r="92" spans="2:65" ht="14.25" customHeight="1" x14ac:dyDescent="0.25">
      <c r="B92" s="72" t="s">
        <v>41</v>
      </c>
      <c r="C92" s="38"/>
      <c r="D92" s="5"/>
      <c r="J92" s="24"/>
      <c r="L92" s="118"/>
      <c r="M92" s="40"/>
      <c r="N92" s="46"/>
      <c r="O92" s="2"/>
      <c r="P92" s="2"/>
      <c r="X92" s="77"/>
      <c r="AX92" s="79" t="s">
        <v>41</v>
      </c>
      <c r="AY92" s="41"/>
      <c r="AZ92" s="82"/>
      <c r="BG92" s="119"/>
      <c r="BI92" s="45"/>
      <c r="BL92" s="6" t="s">
        <v>107</v>
      </c>
      <c r="BM92" s="127">
        <f>SUM(BM76:BM91)</f>
        <v>0</v>
      </c>
    </row>
    <row r="93" spans="2:65" ht="14.25" customHeight="1" x14ac:dyDescent="0.25">
      <c r="B93" s="137" t="s">
        <v>2</v>
      </c>
      <c r="C93" s="129" t="s">
        <v>3</v>
      </c>
      <c r="D93" s="187" t="s">
        <v>2</v>
      </c>
      <c r="E93" s="188"/>
      <c r="F93" s="189"/>
      <c r="G93" s="188" t="s">
        <v>4</v>
      </c>
      <c r="H93" s="188"/>
      <c r="I93" s="188"/>
      <c r="J93" s="28" t="s">
        <v>81</v>
      </c>
      <c r="L93" s="43" t="s">
        <v>123</v>
      </c>
      <c r="M93" s="40" t="s">
        <v>100</v>
      </c>
      <c r="N93" s="24"/>
      <c r="O93" s="2"/>
      <c r="P93" s="2"/>
      <c r="X93" s="124" t="s">
        <v>2</v>
      </c>
      <c r="Y93" s="124"/>
      <c r="Z93" s="124"/>
      <c r="AA93" s="124"/>
      <c r="AB93" s="124"/>
      <c r="AX93" s="139" t="s">
        <v>2</v>
      </c>
      <c r="AY93" s="131" t="s">
        <v>3</v>
      </c>
      <c r="AZ93" s="190" t="s">
        <v>2</v>
      </c>
      <c r="BA93" s="191"/>
      <c r="BB93" s="192"/>
      <c r="BC93" s="191" t="s">
        <v>4</v>
      </c>
      <c r="BD93" s="191"/>
      <c r="BE93" s="191"/>
      <c r="BF93" s="69" t="s">
        <v>81</v>
      </c>
      <c r="BG93" s="28" t="s">
        <v>89</v>
      </c>
      <c r="BI93" s="147" t="s">
        <v>29</v>
      </c>
      <c r="BJ93" s="148"/>
      <c r="BK93" s="149"/>
      <c r="BL93" s="150"/>
      <c r="BM93" s="150"/>
    </row>
    <row r="94" spans="2:65" ht="14.25" customHeight="1" x14ac:dyDescent="0.25">
      <c r="B94" s="16">
        <v>61</v>
      </c>
      <c r="C94" s="107">
        <v>43291</v>
      </c>
      <c r="D94" s="152" t="str">
        <f>IF(L87="","Vinnare match 57",L87)</f>
        <v>Vinnare match 57</v>
      </c>
      <c r="E94" s="153" t="s">
        <v>6</v>
      </c>
      <c r="F94" s="154" t="str">
        <f>IF(L88="","Vinnare match 58",L88)</f>
        <v>Vinnare match 58</v>
      </c>
      <c r="G94" s="63"/>
      <c r="H94" s="94" t="s">
        <v>6</v>
      </c>
      <c r="I94" s="63"/>
      <c r="J94" s="65" t="str">
        <f t="shared" ref="J94:J95" si="175">IF(OR(ISBLANK(G94),ISBLANK(I94)),"",IF(G94&gt;I94,1,IF(G94&lt;I94,2,"X")))</f>
        <v/>
      </c>
      <c r="L94" s="66"/>
      <c r="N94" s="178"/>
      <c r="O94" s="40" t="str">
        <f>IF(L94=D94,F94,D94)</f>
        <v>Vinnare match 57</v>
      </c>
      <c r="P94" s="2"/>
      <c r="X94" s="96" t="s">
        <v>44</v>
      </c>
      <c r="AB94" s="95" t="s">
        <v>45</v>
      </c>
      <c r="AX94" s="97">
        <v>61</v>
      </c>
      <c r="AY94" s="108">
        <v>41828.708333333336</v>
      </c>
      <c r="AZ94" s="99" t="str">
        <f>D94</f>
        <v>Vinnare match 57</v>
      </c>
      <c r="BA94" s="155" t="s">
        <v>6</v>
      </c>
      <c r="BB94" s="99" t="str">
        <f>F94</f>
        <v>Vinnare match 58</v>
      </c>
      <c r="BC94" s="171" t="e">
        <f>IF(G94=#REF!,2,0)</f>
        <v>#REF!</v>
      </c>
      <c r="BD94" s="65" t="s">
        <v>6</v>
      </c>
      <c r="BE94" s="171" t="e">
        <f>IF(I94=#REF!,2,0)</f>
        <v>#REF!</v>
      </c>
      <c r="BF94" s="102" t="e">
        <f>IF(J94=#REF!,2,0)</f>
        <v>#REF!</v>
      </c>
      <c r="BG94" s="103" t="e">
        <f t="shared" ref="BG94:BG95" si="176">SUM(BC94+BE94+BF94)</f>
        <v>#REF!</v>
      </c>
      <c r="BI94" s="1" t="s">
        <v>104</v>
      </c>
      <c r="BJ94" s="78" t="s">
        <v>103</v>
      </c>
      <c r="BK94" s="78" t="s">
        <v>105</v>
      </c>
      <c r="BL94" s="78" t="s">
        <v>106</v>
      </c>
      <c r="BM94" s="78" t="s">
        <v>89</v>
      </c>
    </row>
    <row r="95" spans="2:65" ht="14.25" customHeight="1" x14ac:dyDescent="0.25">
      <c r="B95" s="16">
        <v>62</v>
      </c>
      <c r="C95" s="107">
        <v>43292</v>
      </c>
      <c r="D95" s="152" t="str">
        <f>IF(L89="","Vinnare match 59",L89)</f>
        <v>Vinnare match 59</v>
      </c>
      <c r="E95" s="153" t="s">
        <v>6</v>
      </c>
      <c r="F95" s="154" t="str">
        <f>IF(L90="","Vinnare match 60",L90)</f>
        <v>Vinnare match 60</v>
      </c>
      <c r="G95" s="63"/>
      <c r="H95" s="94" t="s">
        <v>6</v>
      </c>
      <c r="I95" s="63"/>
      <c r="J95" s="65" t="str">
        <f t="shared" si="175"/>
        <v/>
      </c>
      <c r="L95" s="66"/>
      <c r="N95" s="46"/>
      <c r="O95" s="40" t="str">
        <f>IF(L95=D95,F95,D95)</f>
        <v>Vinnare match 59</v>
      </c>
      <c r="P95" s="2"/>
      <c r="X95" s="96" t="s">
        <v>48</v>
      </c>
      <c r="AB95" s="95" t="s">
        <v>49</v>
      </c>
      <c r="AX95" s="97">
        <v>62</v>
      </c>
      <c r="AY95" s="108">
        <v>41829.708333333336</v>
      </c>
      <c r="AZ95" s="99" t="str">
        <f>D95</f>
        <v>Vinnare match 59</v>
      </c>
      <c r="BA95" s="155" t="s">
        <v>6</v>
      </c>
      <c r="BB95" s="99" t="str">
        <f>F95</f>
        <v>Vinnare match 60</v>
      </c>
      <c r="BC95" s="171" t="e">
        <f>IF(G95=#REF!,2,0)</f>
        <v>#REF!</v>
      </c>
      <c r="BD95" s="65" t="s">
        <v>6</v>
      </c>
      <c r="BE95" s="171" t="e">
        <f>IF(I95=#REF!,2,0)</f>
        <v>#REF!</v>
      </c>
      <c r="BF95" s="102" t="e">
        <f>IF(J95=#REF!,2,0)</f>
        <v>#REF!</v>
      </c>
      <c r="BG95" s="103" t="e">
        <f t="shared" si="176"/>
        <v>#REF!</v>
      </c>
      <c r="BI95" s="45" t="str">
        <f>D87</f>
        <v>Vinnare match 49</v>
      </c>
      <c r="BJ95" s="45" t="e">
        <f>#REF!</f>
        <v>#REF!</v>
      </c>
      <c r="BK95" s="146" t="e">
        <f>VLOOKUP(BI95,$BJ$95:$BJ$102,1,FALSE)</f>
        <v>#N/A</v>
      </c>
      <c r="BL95" s="157" t="e">
        <f t="shared" ref="BL95:BL102" si="177">BK95</f>
        <v>#N/A</v>
      </c>
      <c r="BM95" s="82">
        <f t="shared" ref="BM95:BM102" si="178">IFERROR(IF(BK95=BL95,10,0),0)</f>
        <v>0</v>
      </c>
    </row>
    <row r="96" spans="2:65" ht="14.25" customHeight="1" x14ac:dyDescent="0.25">
      <c r="B96" s="37"/>
      <c r="C96" s="38"/>
      <c r="D96" s="5"/>
      <c r="J96" s="24"/>
      <c r="L96" s="42"/>
      <c r="M96" s="40"/>
      <c r="N96" s="46"/>
      <c r="O96" s="2"/>
      <c r="P96" s="2"/>
      <c r="X96" s="77"/>
      <c r="AX96" s="42"/>
      <c r="AY96" s="41"/>
      <c r="AZ96" s="82"/>
      <c r="BG96" s="119"/>
      <c r="BI96" s="45" t="str">
        <f>D88</f>
        <v>Vinnare match 53</v>
      </c>
      <c r="BJ96" s="45" t="e">
        <f>#REF!</f>
        <v>#REF!</v>
      </c>
      <c r="BK96" s="146" t="e">
        <f t="shared" ref="BK96:BK102" si="179">VLOOKUP(BI96,$BJ$95:$BJ$102,1,FALSE)</f>
        <v>#N/A</v>
      </c>
      <c r="BL96" s="157" t="e">
        <f t="shared" si="177"/>
        <v>#N/A</v>
      </c>
      <c r="BM96" s="82">
        <f t="shared" si="178"/>
        <v>0</v>
      </c>
    </row>
    <row r="97" spans="2:65" ht="14.25" customHeight="1" x14ac:dyDescent="0.25">
      <c r="B97" s="72" t="s">
        <v>50</v>
      </c>
      <c r="C97" s="38"/>
      <c r="D97" s="5"/>
      <c r="J97" s="24"/>
      <c r="L97" s="42"/>
      <c r="M97" s="40"/>
      <c r="N97" s="46"/>
      <c r="O97" s="2"/>
      <c r="P97" s="2"/>
      <c r="X97" s="77"/>
      <c r="AX97" s="79" t="s">
        <v>50</v>
      </c>
      <c r="AY97" s="41"/>
      <c r="AZ97" s="82"/>
      <c r="BG97" s="119"/>
      <c r="BI97" s="45" t="str">
        <f>D89</f>
        <v>Vinnare match 51</v>
      </c>
      <c r="BJ97" s="45" t="e">
        <f>#REF!</f>
        <v>#REF!</v>
      </c>
      <c r="BK97" s="146" t="e">
        <f t="shared" si="179"/>
        <v>#N/A</v>
      </c>
      <c r="BL97" s="157" t="e">
        <f t="shared" si="177"/>
        <v>#N/A</v>
      </c>
      <c r="BM97" s="82">
        <f t="shared" si="178"/>
        <v>0</v>
      </c>
    </row>
    <row r="98" spans="2:65" ht="14.25" customHeight="1" x14ac:dyDescent="0.25">
      <c r="B98" s="137" t="s">
        <v>2</v>
      </c>
      <c r="C98" s="129" t="s">
        <v>3</v>
      </c>
      <c r="D98" s="187" t="s">
        <v>2</v>
      </c>
      <c r="E98" s="188"/>
      <c r="F98" s="188"/>
      <c r="G98" s="193" t="s">
        <v>4</v>
      </c>
      <c r="H98" s="188"/>
      <c r="I98" s="194"/>
      <c r="J98" s="28" t="s">
        <v>81</v>
      </c>
      <c r="L98" s="43" t="s">
        <v>161</v>
      </c>
      <c r="M98" s="40"/>
      <c r="N98" s="24"/>
      <c r="O98" s="2"/>
      <c r="P98" s="2"/>
      <c r="X98" s="124" t="s">
        <v>2</v>
      </c>
      <c r="Y98" s="124"/>
      <c r="Z98" s="124"/>
      <c r="AA98" s="124"/>
      <c r="AB98" s="124"/>
      <c r="AX98" s="139" t="s">
        <v>2</v>
      </c>
      <c r="AY98" s="131" t="s">
        <v>3</v>
      </c>
      <c r="AZ98" s="190" t="s">
        <v>2</v>
      </c>
      <c r="BA98" s="191"/>
      <c r="BB98" s="191"/>
      <c r="BC98" s="195" t="s">
        <v>4</v>
      </c>
      <c r="BD98" s="191"/>
      <c r="BE98" s="196"/>
      <c r="BF98" s="69" t="s">
        <v>81</v>
      </c>
      <c r="BG98" s="28" t="s">
        <v>89</v>
      </c>
      <c r="BI98" s="45" t="str">
        <f>D90</f>
        <v>Vinnare match 55</v>
      </c>
      <c r="BJ98" s="45" t="e">
        <f>#REF!</f>
        <v>#REF!</v>
      </c>
      <c r="BK98" s="146" t="e">
        <f t="shared" si="179"/>
        <v>#N/A</v>
      </c>
      <c r="BL98" s="157" t="e">
        <f t="shared" si="177"/>
        <v>#N/A</v>
      </c>
      <c r="BM98" s="82">
        <f t="shared" si="178"/>
        <v>0</v>
      </c>
    </row>
    <row r="99" spans="2:65" ht="14.25" customHeight="1" x14ac:dyDescent="0.25">
      <c r="B99" s="16">
        <v>63</v>
      </c>
      <c r="C99" s="107">
        <v>43295</v>
      </c>
      <c r="D99" s="152" t="str">
        <f>IF(L94="","Förlorare match 61",O94)</f>
        <v>Förlorare match 61</v>
      </c>
      <c r="E99" s="153" t="s">
        <v>6</v>
      </c>
      <c r="F99" s="154" t="str">
        <f>IF(L95="","Förlorare match 62",O95)</f>
        <v>Förlorare match 62</v>
      </c>
      <c r="G99" s="63"/>
      <c r="H99" s="94" t="s">
        <v>6</v>
      </c>
      <c r="I99" s="63"/>
      <c r="J99" s="65" t="str">
        <f>IF(OR(ISBLANK(G99),ISBLANK(I99)),"",IF(G99&gt;I99,1,IF(G99&lt;I99,2,"X")))</f>
        <v/>
      </c>
      <c r="L99" s="66"/>
      <c r="M99" s="40"/>
      <c r="N99" s="178"/>
      <c r="O99" s="2"/>
      <c r="P99" s="2"/>
      <c r="X99" s="96" t="s">
        <v>51</v>
      </c>
      <c r="AB99" s="95" t="s">
        <v>52</v>
      </c>
      <c r="AX99" s="97">
        <v>63</v>
      </c>
      <c r="AY99" s="108">
        <v>41832</v>
      </c>
      <c r="AZ99" s="99" t="str">
        <f>D99</f>
        <v>Förlorare match 61</v>
      </c>
      <c r="BA99" s="155" t="s">
        <v>6</v>
      </c>
      <c r="BB99" s="99" t="str">
        <f>F99</f>
        <v>Förlorare match 62</v>
      </c>
      <c r="BC99" s="171" t="e">
        <f>IF(G99=#REF!,2,0)</f>
        <v>#REF!</v>
      </c>
      <c r="BD99" s="65" t="s">
        <v>6</v>
      </c>
      <c r="BE99" s="171" t="e">
        <f>IF(I99=#REF!,2,0)</f>
        <v>#REF!</v>
      </c>
      <c r="BF99" s="102" t="e">
        <f>IF(J99=#REF!,2,0)</f>
        <v>#REF!</v>
      </c>
      <c r="BG99" s="103" t="e">
        <f>SUM(BC99+BE99+BF99)</f>
        <v>#REF!</v>
      </c>
      <c r="BI99" s="45" t="str">
        <f>F87</f>
        <v>Vinnare match 50</v>
      </c>
      <c r="BJ99" s="45" t="e">
        <f>#REF!</f>
        <v>#REF!</v>
      </c>
      <c r="BK99" s="146" t="e">
        <f t="shared" si="179"/>
        <v>#N/A</v>
      </c>
      <c r="BL99" s="157" t="e">
        <f t="shared" si="177"/>
        <v>#N/A</v>
      </c>
      <c r="BM99" s="82">
        <f t="shared" si="178"/>
        <v>0</v>
      </c>
    </row>
    <row r="100" spans="2:65" ht="14.25" customHeight="1" x14ac:dyDescent="0.25">
      <c r="B100" s="37"/>
      <c r="C100" s="38"/>
      <c r="D100" s="5"/>
      <c r="J100" s="24"/>
      <c r="L100" s="45"/>
      <c r="M100" s="40"/>
      <c r="N100" s="46"/>
      <c r="O100" s="2"/>
      <c r="P100" s="2"/>
      <c r="X100" s="77"/>
      <c r="AX100" s="42"/>
      <c r="AY100" s="41"/>
      <c r="AZ100" s="82"/>
      <c r="BG100" s="119"/>
      <c r="BI100" s="45" t="str">
        <f>F88</f>
        <v>Vinnare match 54</v>
      </c>
      <c r="BJ100" s="45" t="e">
        <f>#REF!</f>
        <v>#REF!</v>
      </c>
      <c r="BK100" s="146" t="e">
        <f t="shared" si="179"/>
        <v>#N/A</v>
      </c>
      <c r="BL100" s="157" t="e">
        <f t="shared" si="177"/>
        <v>#N/A</v>
      </c>
      <c r="BM100" s="82">
        <f t="shared" si="178"/>
        <v>0</v>
      </c>
    </row>
    <row r="101" spans="2:65" ht="14.25" customHeight="1" x14ac:dyDescent="0.25">
      <c r="B101" s="72" t="s">
        <v>54</v>
      </c>
      <c r="C101" s="120"/>
      <c r="D101" s="26"/>
      <c r="E101" s="27"/>
      <c r="F101" s="72"/>
      <c r="G101" s="27"/>
      <c r="H101" s="27"/>
      <c r="I101" s="27"/>
      <c r="J101" s="24"/>
      <c r="L101" s="45"/>
      <c r="M101" s="40"/>
      <c r="N101" s="46"/>
      <c r="O101" s="2"/>
      <c r="P101" s="2"/>
      <c r="X101" s="124"/>
      <c r="Y101" s="75"/>
      <c r="Z101" s="75"/>
      <c r="AA101" s="75"/>
      <c r="AB101" s="74"/>
      <c r="AX101" s="79" t="s">
        <v>54</v>
      </c>
      <c r="AY101" s="125"/>
      <c r="AZ101" s="127"/>
      <c r="BA101" s="80"/>
      <c r="BB101" s="79"/>
      <c r="BC101" s="80"/>
      <c r="BD101" s="80"/>
      <c r="BE101" s="80"/>
      <c r="BF101" s="80"/>
      <c r="BG101" s="119"/>
      <c r="BI101" s="45" t="str">
        <f>F89</f>
        <v>Vinnare match 52</v>
      </c>
      <c r="BJ101" s="45" t="e">
        <f>#REF!</f>
        <v>#REF!</v>
      </c>
      <c r="BK101" s="146" t="e">
        <f t="shared" si="179"/>
        <v>#N/A</v>
      </c>
      <c r="BL101" s="157" t="e">
        <f t="shared" si="177"/>
        <v>#N/A</v>
      </c>
      <c r="BM101" s="82">
        <f t="shared" si="178"/>
        <v>0</v>
      </c>
    </row>
    <row r="102" spans="2:65" ht="14.25" customHeight="1" x14ac:dyDescent="0.25">
      <c r="B102" s="137" t="s">
        <v>2</v>
      </c>
      <c r="C102" s="129" t="s">
        <v>3</v>
      </c>
      <c r="D102" s="187" t="s">
        <v>2</v>
      </c>
      <c r="E102" s="188"/>
      <c r="F102" s="189"/>
      <c r="G102" s="188" t="s">
        <v>4</v>
      </c>
      <c r="H102" s="188"/>
      <c r="I102" s="188"/>
      <c r="J102" s="28" t="s">
        <v>81</v>
      </c>
      <c r="L102" s="43" t="s">
        <v>162</v>
      </c>
      <c r="M102" s="40"/>
      <c r="N102" s="24"/>
      <c r="O102" s="2"/>
      <c r="P102" s="2"/>
      <c r="X102" s="124" t="s">
        <v>2</v>
      </c>
      <c r="Y102" s="124"/>
      <c r="Z102" s="124"/>
      <c r="AA102" s="124"/>
      <c r="AB102" s="124"/>
      <c r="AX102" s="139" t="s">
        <v>2</v>
      </c>
      <c r="AY102" s="131" t="s">
        <v>3</v>
      </c>
      <c r="AZ102" s="190" t="s">
        <v>2</v>
      </c>
      <c r="BA102" s="191"/>
      <c r="BB102" s="192"/>
      <c r="BC102" s="191" t="s">
        <v>4</v>
      </c>
      <c r="BD102" s="191"/>
      <c r="BE102" s="191"/>
      <c r="BF102" s="69" t="s">
        <v>81</v>
      </c>
      <c r="BG102" s="28" t="s">
        <v>89</v>
      </c>
      <c r="BI102" s="45" t="str">
        <f>F90</f>
        <v>Vinnare match 56</v>
      </c>
      <c r="BJ102" s="45" t="e">
        <f>#REF!</f>
        <v>#REF!</v>
      </c>
      <c r="BK102" s="146" t="e">
        <f t="shared" si="179"/>
        <v>#N/A</v>
      </c>
      <c r="BL102" s="157" t="e">
        <f t="shared" si="177"/>
        <v>#N/A</v>
      </c>
      <c r="BM102" s="82">
        <f t="shared" si="178"/>
        <v>0</v>
      </c>
    </row>
    <row r="103" spans="2:65" ht="14.25" customHeight="1" x14ac:dyDescent="0.25">
      <c r="B103" s="164">
        <v>64</v>
      </c>
      <c r="C103" s="165">
        <v>43296</v>
      </c>
      <c r="D103" s="152" t="str">
        <f>IF(L94="","Vinnare match 61",L94)</f>
        <v>Vinnare match 61</v>
      </c>
      <c r="E103" s="153" t="s">
        <v>6</v>
      </c>
      <c r="F103" s="154" t="str">
        <f>IF(L95="","Vinnare match 62",L95)</f>
        <v>Vinnare match 62</v>
      </c>
      <c r="G103" s="63"/>
      <c r="H103" s="94" t="s">
        <v>6</v>
      </c>
      <c r="I103" s="63"/>
      <c r="J103" s="65" t="str">
        <f>IF(OR(ISBLANK(G103),ISBLANK(I103)),"",IF(G103&gt;I103,1,IF(G103&lt;I103,2,"X")))</f>
        <v/>
      </c>
      <c r="L103" s="66"/>
      <c r="M103" s="40"/>
      <c r="N103" s="178"/>
      <c r="O103" s="2"/>
      <c r="P103" s="2"/>
      <c r="X103" s="96" t="s">
        <v>57</v>
      </c>
      <c r="AB103" s="95" t="s">
        <v>58</v>
      </c>
      <c r="AX103" s="166">
        <v>64</v>
      </c>
      <c r="AY103" s="167">
        <v>41833.666666666664</v>
      </c>
      <c r="AZ103" s="99" t="str">
        <f>D103</f>
        <v>Vinnare match 61</v>
      </c>
      <c r="BA103" s="155" t="s">
        <v>6</v>
      </c>
      <c r="BB103" s="99" t="str">
        <f>F103</f>
        <v>Vinnare match 62</v>
      </c>
      <c r="BC103" s="171" t="e">
        <f>IF(G103=#REF!,2,0)</f>
        <v>#REF!</v>
      </c>
      <c r="BD103" s="65" t="s">
        <v>6</v>
      </c>
      <c r="BE103" s="171" t="e">
        <f>IF(I103=#REF!,2,0)</f>
        <v>#REF!</v>
      </c>
      <c r="BF103" s="102" t="e">
        <f>IF(J103=#REF!,2,0)</f>
        <v>#REF!</v>
      </c>
      <c r="BG103" s="103" t="e">
        <f>SUM(BC103+BE103+BF103)</f>
        <v>#REF!</v>
      </c>
      <c r="BI103" s="45"/>
      <c r="BK103" s="168"/>
      <c r="BL103" s="6" t="s">
        <v>107</v>
      </c>
      <c r="BM103" s="127">
        <f>SUM(BM95:BM102)</f>
        <v>0</v>
      </c>
    </row>
    <row r="104" spans="2:65" ht="14.25" customHeight="1" x14ac:dyDescent="0.25">
      <c r="BI104" s="147" t="s">
        <v>41</v>
      </c>
      <c r="BJ104" s="148"/>
      <c r="BK104" s="149"/>
      <c r="BL104" s="150"/>
      <c r="BM104" s="150"/>
    </row>
    <row r="105" spans="2:65" ht="14.25" customHeight="1" x14ac:dyDescent="0.25">
      <c r="BI105" s="1" t="s">
        <v>104</v>
      </c>
      <c r="BJ105" s="78" t="s">
        <v>103</v>
      </c>
      <c r="BK105" s="78" t="s">
        <v>105</v>
      </c>
      <c r="BL105" s="78" t="s">
        <v>106</v>
      </c>
      <c r="BM105" s="78" t="s">
        <v>89</v>
      </c>
    </row>
    <row r="106" spans="2:65" ht="14.25" customHeight="1" x14ac:dyDescent="0.25">
      <c r="BI106" s="83" t="str">
        <f>D94</f>
        <v>Vinnare match 57</v>
      </c>
      <c r="BJ106" s="45" t="e">
        <f>#REF!</f>
        <v>#REF!</v>
      </c>
      <c r="BK106" s="146" t="e">
        <f>VLOOKUP(BI106,$BJ$106:$BJ$109,1,FALSE)</f>
        <v>#N/A</v>
      </c>
      <c r="BL106" s="157" t="e">
        <f t="shared" ref="BL106:BL109" si="180">BK106</f>
        <v>#N/A</v>
      </c>
      <c r="BM106" s="82">
        <f>IFERROR(IF(BK106=BL106,15,0),0)</f>
        <v>0</v>
      </c>
    </row>
    <row r="107" spans="2:65" ht="14.25" customHeight="1" x14ac:dyDescent="0.25">
      <c r="BI107" s="83" t="str">
        <f>D95</f>
        <v>Vinnare match 59</v>
      </c>
      <c r="BJ107" s="45" t="e">
        <f>#REF!</f>
        <v>#REF!</v>
      </c>
      <c r="BK107" s="146" t="e">
        <f t="shared" ref="BK107:BK109" si="181">VLOOKUP(BI107,$BJ$106:$BJ$109,1,FALSE)</f>
        <v>#N/A</v>
      </c>
      <c r="BL107" s="157" t="e">
        <f t="shared" si="180"/>
        <v>#N/A</v>
      </c>
      <c r="BM107" s="82">
        <f>IFERROR(IF(BK107=BL107,15,0),0)</f>
        <v>0</v>
      </c>
    </row>
    <row r="108" spans="2:65" ht="14.25" customHeight="1" x14ac:dyDescent="0.25">
      <c r="BI108" s="83" t="str">
        <f>F94</f>
        <v>Vinnare match 58</v>
      </c>
      <c r="BJ108" s="45" t="e">
        <f>#REF!</f>
        <v>#REF!</v>
      </c>
      <c r="BK108" s="146" t="e">
        <f t="shared" si="181"/>
        <v>#N/A</v>
      </c>
      <c r="BL108" s="157" t="e">
        <f t="shared" si="180"/>
        <v>#N/A</v>
      </c>
      <c r="BM108" s="82">
        <f>IFERROR(IF(BK108=BL108,15,0),0)</f>
        <v>0</v>
      </c>
    </row>
    <row r="109" spans="2:65" ht="14.25" customHeight="1" x14ac:dyDescent="0.25">
      <c r="BI109" s="83" t="str">
        <f>F95</f>
        <v>Vinnare match 60</v>
      </c>
      <c r="BJ109" s="45" t="e">
        <f>#REF!</f>
        <v>#REF!</v>
      </c>
      <c r="BK109" s="146" t="e">
        <f t="shared" si="181"/>
        <v>#N/A</v>
      </c>
      <c r="BL109" s="157" t="e">
        <f t="shared" si="180"/>
        <v>#N/A</v>
      </c>
      <c r="BM109" s="82">
        <f>IFERROR(IF(BK109=BL109,15,0),0)</f>
        <v>0</v>
      </c>
    </row>
    <row r="110" spans="2:65" ht="14.25" customHeight="1" x14ac:dyDescent="0.25">
      <c r="BL110" s="6" t="s">
        <v>107</v>
      </c>
      <c r="BM110" s="127">
        <f>SUM(BM106:BM109)</f>
        <v>0</v>
      </c>
    </row>
    <row r="111" spans="2:65" ht="14.25" customHeight="1" x14ac:dyDescent="0.25">
      <c r="BI111" s="147" t="s">
        <v>50</v>
      </c>
      <c r="BJ111" s="148"/>
      <c r="BK111" s="149"/>
      <c r="BL111" s="150"/>
      <c r="BM111" s="150"/>
    </row>
    <row r="112" spans="2:65" ht="14.25" customHeight="1" x14ac:dyDescent="0.25">
      <c r="BI112" s="1" t="s">
        <v>104</v>
      </c>
      <c r="BJ112" s="78" t="s">
        <v>103</v>
      </c>
      <c r="BK112" s="78" t="s">
        <v>105</v>
      </c>
      <c r="BL112" s="78" t="s">
        <v>106</v>
      </c>
      <c r="BM112" s="78" t="s">
        <v>89</v>
      </c>
    </row>
    <row r="113" spans="61:65" ht="14.25" customHeight="1" x14ac:dyDescent="0.25">
      <c r="BI113" s="83" t="str">
        <f>D99</f>
        <v>Förlorare match 61</v>
      </c>
      <c r="BJ113" s="45" t="e">
        <f>#REF!</f>
        <v>#REF!</v>
      </c>
      <c r="BK113" s="146" t="e">
        <f>VLOOKUP(BI113,$BJ$113:$BJ$114,1,FALSE)</f>
        <v>#N/A</v>
      </c>
      <c r="BL113" s="157" t="e">
        <f t="shared" ref="BL113:BL114" si="182">BK113</f>
        <v>#N/A</v>
      </c>
      <c r="BM113" s="82">
        <f>IFERROR(IF(BK113=BL113,20,0),0)</f>
        <v>0</v>
      </c>
    </row>
    <row r="114" spans="61:65" ht="14.25" customHeight="1" x14ac:dyDescent="0.25">
      <c r="BI114" s="83" t="str">
        <f>F99</f>
        <v>Förlorare match 62</v>
      </c>
      <c r="BJ114" s="45" t="e">
        <f>#REF!</f>
        <v>#REF!</v>
      </c>
      <c r="BK114" s="146" t="e">
        <f>VLOOKUP(BI114,$BJ$113:$BJ$114,1,FALSE)</f>
        <v>#N/A</v>
      </c>
      <c r="BL114" s="157" t="e">
        <f t="shared" si="182"/>
        <v>#N/A</v>
      </c>
      <c r="BM114" s="82">
        <f>IFERROR(IF(BK114=BL114,20,0),0)</f>
        <v>0</v>
      </c>
    </row>
    <row r="115" spans="61:65" ht="14.25" customHeight="1" x14ac:dyDescent="0.25">
      <c r="BL115" s="6" t="s">
        <v>107</v>
      </c>
      <c r="BM115" s="127">
        <f>SUM(BM113:BM114)</f>
        <v>0</v>
      </c>
    </row>
    <row r="116" spans="61:65" ht="14.25" customHeight="1" x14ac:dyDescent="0.25">
      <c r="BI116" s="147" t="s">
        <v>54</v>
      </c>
      <c r="BJ116" s="148"/>
      <c r="BK116" s="149"/>
      <c r="BL116" s="150"/>
      <c r="BM116" s="150"/>
    </row>
    <row r="117" spans="61:65" ht="14.25" customHeight="1" x14ac:dyDescent="0.25">
      <c r="BI117" s="1" t="s">
        <v>104</v>
      </c>
      <c r="BJ117" s="78" t="s">
        <v>103</v>
      </c>
      <c r="BK117" s="78" t="s">
        <v>105</v>
      </c>
      <c r="BL117" s="78" t="s">
        <v>106</v>
      </c>
      <c r="BM117" s="78" t="s">
        <v>89</v>
      </c>
    </row>
    <row r="118" spans="61:65" ht="14.25" customHeight="1" x14ac:dyDescent="0.25">
      <c r="BI118" s="83" t="str">
        <f>D103</f>
        <v>Vinnare match 61</v>
      </c>
      <c r="BJ118" s="45" t="e">
        <f>#REF!</f>
        <v>#REF!</v>
      </c>
      <c r="BK118" s="146" t="e">
        <f>VLOOKUP(BI118,$BJ$118:$BJ$119,1,FALSE)</f>
        <v>#N/A</v>
      </c>
      <c r="BL118" s="157" t="e">
        <f t="shared" ref="BL118:BL119" si="183">BK118</f>
        <v>#N/A</v>
      </c>
      <c r="BM118" s="82">
        <f>IFERROR(IF(BK118=BL118,20,0),0)</f>
        <v>0</v>
      </c>
    </row>
    <row r="119" spans="61:65" ht="14.25" customHeight="1" x14ac:dyDescent="0.25">
      <c r="BI119" s="83" t="str">
        <f>F103</f>
        <v>Vinnare match 62</v>
      </c>
      <c r="BJ119" s="45" t="e">
        <f>#REF!</f>
        <v>#REF!</v>
      </c>
      <c r="BK119" s="146" t="e">
        <f>VLOOKUP(BI119,$BJ$118:$BJ$119,1,FALSE)</f>
        <v>#N/A</v>
      </c>
      <c r="BL119" s="157" t="e">
        <f t="shared" si="183"/>
        <v>#N/A</v>
      </c>
      <c r="BM119" s="82">
        <f>IFERROR(IF(BK119=BL119,20,0),0)</f>
        <v>0</v>
      </c>
    </row>
    <row r="120" spans="61:65" ht="14.25" customHeight="1" x14ac:dyDescent="0.25">
      <c r="BL120" s="6" t="s">
        <v>107</v>
      </c>
      <c r="BM120" s="127">
        <f>SUM(BM118:BM119)</f>
        <v>0</v>
      </c>
    </row>
  </sheetData>
  <sheetProtection algorithmName="SHA-512" hashValue="KP8Kg0z5kWBEGuDSOfRnMGNfjnMdbE6GeMykXn7WFH0v6n1sSNb459ctGPGXFW7/dBHJa0ygqsqCsTP/3wnHfw==" saltValue="HTf45JqVphy0iaOmprDA+g==" spinCount="100000" sheet="1" sort="0" autoFilter="0"/>
  <autoFilter ref="BQ3:BR3">
    <sortState ref="BQ4:BR5">
      <sortCondition ref="BR3"/>
    </sortState>
  </autoFilter>
  <sortState ref="BQ4:BR10">
    <sortCondition descending="1" ref="BR4"/>
  </sortState>
  <dataConsolidate/>
  <mergeCells count="52">
    <mergeCell ref="BC3:BE3"/>
    <mergeCell ref="D21:F21"/>
    <mergeCell ref="G21:I21"/>
    <mergeCell ref="AZ21:BB21"/>
    <mergeCell ref="BC21:BE21"/>
    <mergeCell ref="S5:V5"/>
    <mergeCell ref="D12:F12"/>
    <mergeCell ref="G12:I12"/>
    <mergeCell ref="AZ12:BB12"/>
    <mergeCell ref="BC12:BE12"/>
    <mergeCell ref="S4:V4"/>
    <mergeCell ref="D3:F3"/>
    <mergeCell ref="G3:I3"/>
    <mergeCell ref="S3:V3"/>
    <mergeCell ref="AZ3:BB3"/>
    <mergeCell ref="S6:V6"/>
    <mergeCell ref="D30:F30"/>
    <mergeCell ref="G30:I30"/>
    <mergeCell ref="AZ30:BB30"/>
    <mergeCell ref="BC30:BE30"/>
    <mergeCell ref="G39:I39"/>
    <mergeCell ref="BC39:BE39"/>
    <mergeCell ref="G48:I48"/>
    <mergeCell ref="BC48:BE48"/>
    <mergeCell ref="G57:I57"/>
    <mergeCell ref="BC57:BE57"/>
    <mergeCell ref="G66:I66"/>
    <mergeCell ref="BC66:BE66"/>
    <mergeCell ref="D75:F75"/>
    <mergeCell ref="G75:I75"/>
    <mergeCell ref="AZ75:BB75"/>
    <mergeCell ref="BC75:BE75"/>
    <mergeCell ref="D86:F86"/>
    <mergeCell ref="G86:I86"/>
    <mergeCell ref="AZ86:BB86"/>
    <mergeCell ref="BC86:BE86"/>
    <mergeCell ref="D102:F102"/>
    <mergeCell ref="G102:I102"/>
    <mergeCell ref="AZ102:BB102"/>
    <mergeCell ref="BC102:BE102"/>
    <mergeCell ref="D39:F39"/>
    <mergeCell ref="D66:F66"/>
    <mergeCell ref="D57:F57"/>
    <mergeCell ref="D48:F48"/>
    <mergeCell ref="D93:F93"/>
    <mergeCell ref="G93:I93"/>
    <mergeCell ref="AZ93:BB93"/>
    <mergeCell ref="BC93:BE93"/>
    <mergeCell ref="D98:F98"/>
    <mergeCell ref="G98:I98"/>
    <mergeCell ref="AZ98:BB98"/>
    <mergeCell ref="BC98:BE98"/>
  </mergeCells>
  <pageMargins left="0.7" right="0.7" top="0.75" bottom="0.75" header="0.3" footer="0.3"/>
  <pageSetup paperSize="9" orientation="portrait" horizontalDpi="1200" verticalDpi="1200" r:id="rId1"/>
  <ignoredErrors>
    <ignoredError sqref="BR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BP120"/>
  <sheetViews>
    <sheetView showGridLines="0" zoomScaleNormal="100" zoomScaleSheetLayoutView="90" workbookViewId="0">
      <selection activeCell="G4" sqref="G4"/>
    </sheetView>
  </sheetViews>
  <sheetFormatPr defaultColWidth="9.140625" defaultRowHeight="14.25" customHeight="1" x14ac:dyDescent="0.25"/>
  <cols>
    <col min="1" max="1" width="2.85546875" style="5" customWidth="1"/>
    <col min="2" max="2" width="5.85546875" style="73" customWidth="1"/>
    <col min="3" max="3" width="6.28515625" style="37" bestFit="1" customWidth="1"/>
    <col min="4" max="4" width="17.7109375" style="37" customWidth="1"/>
    <col min="5" max="5" width="1.5703125" style="23" bestFit="1" customWidth="1"/>
    <col min="6" max="6" width="17.7109375" style="37" customWidth="1"/>
    <col min="7" max="7" width="4.85546875" style="23" customWidth="1"/>
    <col min="8" max="8" width="1.5703125" style="23" bestFit="1" customWidth="1"/>
    <col min="9" max="9" width="4.85546875" style="23" customWidth="1"/>
    <col min="10" max="11" width="6.42578125" style="1" customWidth="1"/>
    <col min="12" max="12" width="5.85546875" style="2" customWidth="1"/>
    <col min="13" max="13" width="20.5703125" style="5" bestFit="1" customWidth="1"/>
    <col min="14" max="14" width="5.7109375" style="37" customWidth="1"/>
    <col min="15" max="15" width="6.7109375" style="38" bestFit="1" customWidth="1"/>
    <col min="16" max="17" width="5.7109375" style="5" customWidth="1"/>
    <col min="18" max="18" width="5.85546875" style="5" customWidth="1"/>
    <col min="19" max="19" width="17" style="23" customWidth="1"/>
    <col min="20" max="21" width="6.7109375" style="23" customWidth="1"/>
    <col min="22" max="22" width="19.42578125" style="23" customWidth="1"/>
    <col min="23" max="23" width="13.42578125" style="145" customWidth="1"/>
    <col min="24" max="24" width="6.42578125" style="5" customWidth="1"/>
    <col min="25" max="25" width="5.7109375" style="5" customWidth="1"/>
    <col min="26" max="26" width="16.28515625" style="95" hidden="1" customWidth="1"/>
    <col min="27" max="27" width="7.140625" style="96" hidden="1" customWidth="1"/>
    <col min="28" max="29" width="5.7109375" style="96" hidden="1" customWidth="1"/>
    <col min="30" max="30" width="16.28515625" style="95" hidden="1" customWidth="1"/>
    <col min="31" max="31" width="7.140625" style="76" hidden="1" customWidth="1"/>
    <col min="32" max="32" width="5.42578125" style="77" hidden="1" customWidth="1"/>
    <col min="33" max="33" width="4.7109375" style="77" hidden="1" customWidth="1"/>
    <col min="34" max="38" width="9.140625" style="76" hidden="1" customWidth="1"/>
    <col min="39" max="39" width="9.85546875" style="76" hidden="1" customWidth="1"/>
    <col min="40" max="40" width="13.85546875" style="76" hidden="1" customWidth="1"/>
    <col min="41" max="41" width="5.7109375" style="76" hidden="1" customWidth="1"/>
    <col min="42" max="42" width="3.85546875" style="76" hidden="1" customWidth="1"/>
    <col min="43" max="43" width="3.28515625" style="76" hidden="1" customWidth="1"/>
    <col min="44" max="44" width="3.7109375" style="76" hidden="1" customWidth="1"/>
    <col min="45" max="45" width="9.140625" style="76" hidden="1" customWidth="1"/>
    <col min="46" max="46" width="4.85546875" style="76" hidden="1" customWidth="1"/>
    <col min="47" max="47" width="13.85546875" style="76" hidden="1" customWidth="1"/>
    <col min="48" max="48" width="5.7109375" style="76" hidden="1" customWidth="1"/>
    <col min="49" max="51" width="4.7109375" style="76" hidden="1" customWidth="1"/>
    <col min="52" max="52" width="5.85546875" style="45" hidden="1" customWidth="1"/>
    <col min="53" max="53" width="6.28515625" style="42" hidden="1" customWidth="1"/>
    <col min="54" max="54" width="16.28515625" style="42" hidden="1" customWidth="1"/>
    <col min="55" max="55" width="1.5703125" style="118" hidden="1" customWidth="1"/>
    <col min="56" max="56" width="16.28515625" style="42" hidden="1" customWidth="1"/>
    <col min="57" max="57" width="4.85546875" style="118" hidden="1" customWidth="1"/>
    <col min="58" max="58" width="1.5703125" style="118" hidden="1" customWidth="1"/>
    <col min="59" max="59" width="4.85546875" style="118" hidden="1" customWidth="1"/>
    <col min="60" max="60" width="6.42578125" style="118" hidden="1" customWidth="1"/>
    <col min="61" max="61" width="6.42578125" style="81" hidden="1" customWidth="1"/>
    <col min="62" max="62" width="5.85546875" style="82" hidden="1" customWidth="1"/>
    <col min="63" max="63" width="28.85546875" style="83" hidden="1" customWidth="1"/>
    <col min="64" max="64" width="34" style="45" hidden="1" customWidth="1"/>
    <col min="65" max="65" width="18.7109375" style="146" hidden="1" customWidth="1"/>
    <col min="66" max="66" width="16.28515625" style="82" hidden="1" customWidth="1"/>
    <col min="67" max="67" width="14.28515625" style="82" hidden="1" customWidth="1"/>
    <col min="68" max="68" width="13.85546875" style="5" hidden="1" customWidth="1"/>
    <col min="69" max="70" width="5.7109375" style="5" customWidth="1"/>
    <col min="71" max="16384" width="9.140625" style="5"/>
  </cols>
  <sheetData>
    <row r="2" spans="2:67" ht="14.25" customHeight="1" x14ac:dyDescent="0.25">
      <c r="B2" s="71" t="s">
        <v>0</v>
      </c>
      <c r="C2" s="72"/>
      <c r="D2" s="72"/>
      <c r="E2" s="27"/>
      <c r="F2" s="72"/>
      <c r="G2" s="27"/>
      <c r="H2" s="27"/>
      <c r="I2" s="27"/>
      <c r="M2" s="3"/>
      <c r="N2" s="4"/>
      <c r="O2" s="4"/>
      <c r="P2" s="4"/>
      <c r="Q2" s="4"/>
      <c r="S2" s="6" t="s">
        <v>82</v>
      </c>
      <c r="T2" s="6"/>
      <c r="U2" s="6"/>
      <c r="V2" s="6"/>
      <c r="W2" s="73"/>
      <c r="X2" s="73"/>
      <c r="Z2" s="74"/>
      <c r="AA2" s="75"/>
      <c r="AB2" s="75"/>
      <c r="AC2" s="75"/>
      <c r="AD2" s="74"/>
      <c r="AZ2" s="78" t="s">
        <v>0</v>
      </c>
      <c r="BA2" s="79"/>
      <c r="BB2" s="79"/>
      <c r="BC2" s="80"/>
      <c r="BD2" s="79"/>
      <c r="BE2" s="80"/>
      <c r="BF2" s="80"/>
      <c r="BG2" s="80"/>
      <c r="BH2" s="80"/>
      <c r="BK2" s="6" t="s">
        <v>82</v>
      </c>
      <c r="BL2" s="73"/>
      <c r="BM2" s="73"/>
      <c r="BN2" s="83"/>
      <c r="BO2" s="83"/>
    </row>
    <row r="3" spans="2:67" ht="14.25" customHeight="1" x14ac:dyDescent="0.25">
      <c r="B3" s="11" t="s">
        <v>2</v>
      </c>
      <c r="C3" s="84" t="s">
        <v>3</v>
      </c>
      <c r="D3" s="187" t="s">
        <v>2</v>
      </c>
      <c r="E3" s="188"/>
      <c r="F3" s="189"/>
      <c r="G3" s="204" t="s">
        <v>4</v>
      </c>
      <c r="H3" s="204"/>
      <c r="I3" s="204"/>
      <c r="J3" s="7" t="s">
        <v>81</v>
      </c>
      <c r="K3" s="7" t="s">
        <v>89</v>
      </c>
      <c r="M3" s="8" t="s">
        <v>0</v>
      </c>
      <c r="N3" s="9" t="s">
        <v>89</v>
      </c>
      <c r="O3" s="9" t="s">
        <v>90</v>
      </c>
      <c r="P3" s="9" t="s">
        <v>91</v>
      </c>
      <c r="Q3" s="10" t="s">
        <v>101</v>
      </c>
      <c r="S3" s="11" t="s">
        <v>83</v>
      </c>
      <c r="T3" s="188" t="s">
        <v>127</v>
      </c>
      <c r="U3" s="188"/>
      <c r="V3" s="188"/>
      <c r="W3" s="188"/>
      <c r="X3" s="10" t="s">
        <v>89</v>
      </c>
      <c r="Z3" s="85" t="s">
        <v>87</v>
      </c>
      <c r="AA3" s="85" t="s">
        <v>89</v>
      </c>
      <c r="AB3" s="85" t="s">
        <v>90</v>
      </c>
      <c r="AC3" s="85" t="s">
        <v>91</v>
      </c>
      <c r="AD3" s="85" t="s">
        <v>88</v>
      </c>
      <c r="AE3" s="85" t="s">
        <v>89</v>
      </c>
      <c r="AF3" s="85" t="s">
        <v>90</v>
      </c>
      <c r="AG3" s="85" t="s">
        <v>91</v>
      </c>
      <c r="AI3" s="86" t="s">
        <v>99</v>
      </c>
      <c r="AJ3" s="86" t="s">
        <v>98</v>
      </c>
      <c r="AK3" s="86" t="s">
        <v>97</v>
      </c>
      <c r="AL3" s="85" t="s">
        <v>96</v>
      </c>
      <c r="AM3" s="85" t="s">
        <v>95</v>
      </c>
      <c r="AN3" s="85" t="s">
        <v>92</v>
      </c>
      <c r="AO3" s="85" t="s">
        <v>89</v>
      </c>
      <c r="AP3" s="85" t="s">
        <v>90</v>
      </c>
      <c r="AQ3" s="85" t="s">
        <v>91</v>
      </c>
      <c r="AR3" s="86" t="s">
        <v>93</v>
      </c>
      <c r="AT3" s="85" t="s">
        <v>94</v>
      </c>
      <c r="AU3" s="85" t="s">
        <v>92</v>
      </c>
      <c r="AV3" s="85" t="s">
        <v>89</v>
      </c>
      <c r="AW3" s="85" t="s">
        <v>90</v>
      </c>
      <c r="AX3" s="85" t="s">
        <v>91</v>
      </c>
      <c r="AY3" s="86" t="s">
        <v>93</v>
      </c>
      <c r="AZ3" s="87" t="s">
        <v>2</v>
      </c>
      <c r="BA3" s="88" t="s">
        <v>3</v>
      </c>
      <c r="BB3" s="205" t="s">
        <v>2</v>
      </c>
      <c r="BC3" s="197"/>
      <c r="BD3" s="206"/>
      <c r="BE3" s="197" t="s">
        <v>4</v>
      </c>
      <c r="BF3" s="197"/>
      <c r="BG3" s="197"/>
      <c r="BH3" s="89" t="s">
        <v>81</v>
      </c>
      <c r="BI3" s="7" t="s">
        <v>89</v>
      </c>
      <c r="BK3" s="11" t="s">
        <v>83</v>
      </c>
      <c r="BL3" s="9" t="s">
        <v>86</v>
      </c>
      <c r="BM3" s="10" t="s">
        <v>89</v>
      </c>
      <c r="BN3" s="24"/>
      <c r="BO3" s="24"/>
    </row>
    <row r="4" spans="2:67" ht="14.25" customHeight="1" x14ac:dyDescent="0.25">
      <c r="B4" s="16">
        <v>1</v>
      </c>
      <c r="C4" s="90">
        <v>43265</v>
      </c>
      <c r="D4" s="91" t="s">
        <v>79</v>
      </c>
      <c r="E4" s="92" t="s">
        <v>6</v>
      </c>
      <c r="F4" s="93" t="s">
        <v>164</v>
      </c>
      <c r="G4" s="63"/>
      <c r="H4" s="94" t="s">
        <v>6</v>
      </c>
      <c r="I4" s="63"/>
      <c r="J4" s="65" t="str">
        <f>IF(OR(ISBLANK(G4),ISBLANK(I4)),"",IF(G4&gt;I4,1,IF(G4&lt;I4,2,"X")))</f>
        <v/>
      </c>
      <c r="K4" s="64">
        <f>IF('Resultat &amp; tabell'!J4="",0,BI4)</f>
        <v>0</v>
      </c>
      <c r="L4" s="12">
        <v>1</v>
      </c>
      <c r="M4" s="13" t="str">
        <f>VLOOKUP(L4,AT4:AY7,2,FALSE)</f>
        <v>Ryssland</v>
      </c>
      <c r="N4" s="62">
        <f>VLOOKUP(M4,$AU$4:$AY$7,2,FALSE)</f>
        <v>0</v>
      </c>
      <c r="O4" s="14">
        <f>VLOOKUP(M4,$AU$4:$AY$7,3,FALSE)</f>
        <v>0</v>
      </c>
      <c r="P4" s="14">
        <f>VLOOKUP(M4,$AU$4:$AY$7,4,FALSE)</f>
        <v>0</v>
      </c>
      <c r="Q4" s="15">
        <f>VLOOKUP(M4,$AU$4:$AY$7,5,FALSE)</f>
        <v>0</v>
      </c>
      <c r="S4" s="16" t="s">
        <v>84</v>
      </c>
      <c r="T4" s="198"/>
      <c r="U4" s="199"/>
      <c r="V4" s="199"/>
      <c r="W4" s="200"/>
      <c r="X4" s="51">
        <f>IF(AND('Resultat &amp; tabell'!S4&gt;0,T4='Resultat &amp; tabell'!S4),20,0)</f>
        <v>0</v>
      </c>
      <c r="Z4" s="95" t="str">
        <f>D4</f>
        <v>Ryssland</v>
      </c>
      <c r="AA4" s="96">
        <f>IF(G4="",0,IF($G4&lt;$I4,0,IF($G4=$I4,1,3)))</f>
        <v>0</v>
      </c>
      <c r="AB4" s="96">
        <f t="shared" ref="AB4:AB9" si="0">G4</f>
        <v>0</v>
      </c>
      <c r="AC4" s="96">
        <f t="shared" ref="AC4:AC9" si="1">I4</f>
        <v>0</v>
      </c>
      <c r="AD4" s="95" t="str">
        <f>F4</f>
        <v>Saudiarabien</v>
      </c>
      <c r="AE4" s="96">
        <f>IF(I4="",0,IF(I4&lt;G4,0,IF(G4=I4,1,3)))</f>
        <v>0</v>
      </c>
      <c r="AF4" s="77">
        <f t="shared" ref="AF4:AF9" si="2">I4</f>
        <v>0</v>
      </c>
      <c r="AG4" s="77">
        <f t="shared" ref="AG4:AG9" si="3">G4</f>
        <v>0</v>
      </c>
      <c r="AI4" s="76">
        <f>RANK($AJ4,$AJ$4:$AJ$7,1)+COUNTIF($AJ$4:$AJ4,$AJ4)-1</f>
        <v>1</v>
      </c>
      <c r="AJ4" s="76">
        <f>AK4+AL4+AM4</f>
        <v>1</v>
      </c>
      <c r="AK4" s="76">
        <f>SUMPRODUCT(($AO$4:$AO$7=AO4)*($AR$4:$AR$7=AR4)*($AP$4:$AP$7&gt;AP4))</f>
        <v>0</v>
      </c>
      <c r="AL4" s="76">
        <f>SUMPRODUCT(($AO$4:$AO$7=AO4)*($AR$4:$AR$7&gt;AR4))</f>
        <v>0</v>
      </c>
      <c r="AM4" s="76">
        <f>RANK(AO4,$AO$4:$AO$7)</f>
        <v>1</v>
      </c>
      <c r="AN4" s="95" t="s">
        <v>79</v>
      </c>
      <c r="AO4" s="76">
        <f>SUMIF($Z$4:$Z$9,$AN4,$AA$4:$AA$9)+SUMIF($AD$4:$AD$9,$AN4,$AE$4:$AE$9)</f>
        <v>0</v>
      </c>
      <c r="AP4" s="76">
        <f>SUMIF($Z$4:$Z$9,AN4,$AB$4:$AB$9)+SUMIF($AD$4:$AD$9,AN4,$AF$4:$AF$9)</f>
        <v>0</v>
      </c>
      <c r="AQ4" s="76">
        <f>SUMIF($AD$4:$AD$9,AN4,$AG$4:$AG$9)+SUMIF($Z$4:$Z$9,AN4,$AC$4:$AC$9)</f>
        <v>0</v>
      </c>
      <c r="AR4" s="76">
        <f>AP4-AQ4</f>
        <v>0</v>
      </c>
      <c r="AT4" s="76">
        <v>1</v>
      </c>
      <c r="AU4" s="76" t="str">
        <f>VLOOKUP($AT4,$AI$4:$AR$7,6,FALSE)</f>
        <v>Ryssland</v>
      </c>
      <c r="AV4" s="76">
        <f>VLOOKUP($AU4,$AN$4:$AR$7,2,FALSE)</f>
        <v>0</v>
      </c>
      <c r="AW4" s="76">
        <f t="shared" ref="AW4:AW7" si="4">VLOOKUP($AU4,$AN$4:$AR$7,3,FALSE)</f>
        <v>0</v>
      </c>
      <c r="AX4" s="76">
        <f>VLOOKUP($AU4,$AN$4:$AR$7,4,FALSE)</f>
        <v>0</v>
      </c>
      <c r="AY4" s="76">
        <f>VLOOKUP($AU4,$AN$4:$AR$7,5,FALSE)</f>
        <v>0</v>
      </c>
      <c r="AZ4" s="97">
        <v>1</v>
      </c>
      <c r="BA4" s="98">
        <v>41803</v>
      </c>
      <c r="BB4" s="99" t="s">
        <v>5</v>
      </c>
      <c r="BC4" s="100" t="s">
        <v>6</v>
      </c>
      <c r="BD4" s="101" t="s">
        <v>7</v>
      </c>
      <c r="BE4" s="102">
        <f>IF(G4='Resultat &amp; tabell'!$G4,2,0)</f>
        <v>2</v>
      </c>
      <c r="BF4" s="65" t="s">
        <v>6</v>
      </c>
      <c r="BG4" s="102">
        <f>IF(I4='Resultat &amp; tabell'!$I4,2,0)</f>
        <v>2</v>
      </c>
      <c r="BH4" s="102">
        <f>IF(J4='Resultat &amp; tabell'!$J4,3,0)</f>
        <v>3</v>
      </c>
      <c r="BI4" s="103">
        <f>SUM(BE4+BG4+BH4)</f>
        <v>7</v>
      </c>
      <c r="BJ4" s="104"/>
      <c r="BK4" s="16" t="s">
        <v>154</v>
      </c>
      <c r="BL4" s="105"/>
      <c r="BM4" s="106" t="e">
        <f>IF(#REF!='Resultat &amp; tabell'!$M4,20,0)</f>
        <v>#REF!</v>
      </c>
      <c r="BN4" s="49"/>
      <c r="BO4" s="49"/>
    </row>
    <row r="5" spans="2:67" ht="14.25" customHeight="1" x14ac:dyDescent="0.25">
      <c r="B5" s="16">
        <v>2</v>
      </c>
      <c r="C5" s="107">
        <v>43266</v>
      </c>
      <c r="D5" s="91" t="s">
        <v>165</v>
      </c>
      <c r="E5" s="92" t="s">
        <v>6</v>
      </c>
      <c r="F5" s="93" t="s">
        <v>55</v>
      </c>
      <c r="G5" s="63"/>
      <c r="H5" s="94" t="s">
        <v>6</v>
      </c>
      <c r="I5" s="63"/>
      <c r="J5" s="65" t="str">
        <f t="shared" ref="J5:J9" si="5">IF(OR(ISBLANK(G5),ISBLANK(I5)),"",IF(G5&gt;I5,1,IF(G5&lt;I5,2,"X")))</f>
        <v/>
      </c>
      <c r="K5" s="64">
        <f>IF('Resultat &amp; tabell'!J5="",0,BI5)</f>
        <v>0</v>
      </c>
      <c r="L5" s="2">
        <v>2</v>
      </c>
      <c r="M5" s="17" t="str">
        <f>VLOOKUP(L5,AT4:AY7,2,FALSE)</f>
        <v>Saudiarabien</v>
      </c>
      <c r="N5" s="18">
        <f>VLOOKUP(M5,$AU$4:$AY$7,2,FALSE)</f>
        <v>0</v>
      </c>
      <c r="O5" s="18">
        <f>VLOOKUP(M5,$AU$4:$AY$7,3,FALSE)</f>
        <v>0</v>
      </c>
      <c r="P5" s="18">
        <f>VLOOKUP(M5,$AU$4:$AY$7,4,FALSE)</f>
        <v>0</v>
      </c>
      <c r="Q5" s="19">
        <f>VLOOKUP(M5,$AU$4:$AY$7,5,FALSE)</f>
        <v>0</v>
      </c>
      <c r="S5" s="16" t="s">
        <v>122</v>
      </c>
      <c r="T5" s="210"/>
      <c r="U5" s="211"/>
      <c r="V5" s="211"/>
      <c r="W5" s="212"/>
      <c r="X5" s="51">
        <f>IF(AND('Resultat &amp; tabell'!S5&gt;0,T5='Resultat &amp; tabell'!S5),20,0)</f>
        <v>0</v>
      </c>
      <c r="Z5" s="95" t="str">
        <f t="shared" ref="Z5:Z9" si="6">D5</f>
        <v>Egypten</v>
      </c>
      <c r="AA5" s="96">
        <f t="shared" ref="AA5:AA9" si="7">IF(G5="",0,IF($G5&lt;$I5,0,IF($G5=$I5,1,3)))</f>
        <v>0</v>
      </c>
      <c r="AB5" s="96">
        <f t="shared" si="0"/>
        <v>0</v>
      </c>
      <c r="AC5" s="96">
        <f t="shared" si="1"/>
        <v>0</v>
      </c>
      <c r="AD5" s="95" t="str">
        <f t="shared" ref="AD5:AD9" si="8">F5</f>
        <v>Uruguay</v>
      </c>
      <c r="AE5" s="96">
        <f t="shared" ref="AE5:AE9" si="9">IF(I5="",0,IF(I5&lt;G5,0,IF(G5=I5,1,3)))</f>
        <v>0</v>
      </c>
      <c r="AF5" s="77">
        <f t="shared" si="2"/>
        <v>0</v>
      </c>
      <c r="AG5" s="77">
        <f t="shared" si="3"/>
        <v>0</v>
      </c>
      <c r="AI5" s="76">
        <f>RANK($AJ5,$AJ$4:$AJ$7,1)+COUNTIF($AJ$4:$AJ5,$AJ5)-1</f>
        <v>2</v>
      </c>
      <c r="AJ5" s="76">
        <f t="shared" ref="AJ5:AJ7" si="10">AK5+AL5+AM5</f>
        <v>1</v>
      </c>
      <c r="AK5" s="76">
        <f t="shared" ref="AK5:AK7" si="11">SUMPRODUCT(($AO$4:$AO$7=AO5)*($AR$4:$AR$7=AR5)*($AP$4:$AP$7&gt;AP5))</f>
        <v>0</v>
      </c>
      <c r="AL5" s="76">
        <f t="shared" ref="AL5:AL7" si="12">SUMPRODUCT(($AO$4:$AO$7=AO5)*($AR$4:$AR$7&gt;AR5))</f>
        <v>0</v>
      </c>
      <c r="AM5" s="76">
        <f t="shared" ref="AM5:AM7" si="13">RANK(AO5,$AO$4:$AO$7)</f>
        <v>1</v>
      </c>
      <c r="AN5" s="95" t="s">
        <v>164</v>
      </c>
      <c r="AO5" s="76">
        <f t="shared" ref="AO5:AO7" si="14">SUMIF($Z$4:$Z$9,$AN5,$AA$4:$AA$9)+SUMIF($AD$4:$AD$9,$AN5,$AE$4:$AE$9)</f>
        <v>0</v>
      </c>
      <c r="AP5" s="76">
        <f>SUMIF($Z$4:$Z$9,AN5,$AB$4:$AB$9)+SUMIF($AD$4:$AD$9,AN5,$AF$4:$AF$9)</f>
        <v>0</v>
      </c>
      <c r="AQ5" s="76">
        <f t="shared" ref="AQ5:AQ7" si="15">SUMIF($AD$4:$AD$9,AN5,$AG$4:$AG$9)+SUMIF($Z$4:$Z$9,AN5,$AC$4:$AC$9)</f>
        <v>0</v>
      </c>
      <c r="AR5" s="76">
        <f t="shared" ref="AR5:AR7" si="16">AP5-AQ5</f>
        <v>0</v>
      </c>
      <c r="AT5" s="76">
        <v>2</v>
      </c>
      <c r="AU5" s="76" t="str">
        <f t="shared" ref="AU5:AU7" si="17">VLOOKUP($AT5,$AI$4:$AR$7,6,FALSE)</f>
        <v>Saudiarabien</v>
      </c>
      <c r="AV5" s="76">
        <f t="shared" ref="AV5:AV7" si="18">VLOOKUP($AU5,$AN$4:$AR$7,2,FALSE)</f>
        <v>0</v>
      </c>
      <c r="AW5" s="76">
        <f t="shared" si="4"/>
        <v>0</v>
      </c>
      <c r="AX5" s="76">
        <f t="shared" ref="AX5:AX7" si="19">VLOOKUP($AU5,$AN$4:$AR$7,4,FALSE)</f>
        <v>0</v>
      </c>
      <c r="AY5" s="76">
        <f t="shared" ref="AY5:AY7" si="20">VLOOKUP($AU5,$AN$4:$AR$7,5,FALSE)</f>
        <v>0</v>
      </c>
      <c r="AZ5" s="97">
        <v>2</v>
      </c>
      <c r="BA5" s="108">
        <v>41803.541666666664</v>
      </c>
      <c r="BB5" s="99" t="s">
        <v>10</v>
      </c>
      <c r="BC5" s="100" t="s">
        <v>6</v>
      </c>
      <c r="BD5" s="101" t="s">
        <v>11</v>
      </c>
      <c r="BE5" s="102">
        <f>IF(G5='Resultat &amp; tabell'!$G5,2,0)</f>
        <v>2</v>
      </c>
      <c r="BF5" s="65" t="s">
        <v>6</v>
      </c>
      <c r="BG5" s="102">
        <f>IF(I5='Resultat &amp; tabell'!$I5,2,0)</f>
        <v>2</v>
      </c>
      <c r="BH5" s="102">
        <f>IF(J5='Resultat &amp; tabell'!$J5,3,0)</f>
        <v>3</v>
      </c>
      <c r="BI5" s="103">
        <f t="shared" ref="BI5:BI9" si="21">SUM(BE5+BG5+BH5)</f>
        <v>7</v>
      </c>
      <c r="BK5" s="16" t="s">
        <v>84</v>
      </c>
      <c r="BL5" s="109"/>
      <c r="BM5" s="106">
        <f>IF(T4='Resultat &amp; tabell'!$M5,20,0)</f>
        <v>20</v>
      </c>
      <c r="BN5" s="49"/>
      <c r="BO5" s="49"/>
    </row>
    <row r="6" spans="2:67" ht="14.25" customHeight="1" x14ac:dyDescent="0.25">
      <c r="B6" s="16">
        <v>17</v>
      </c>
      <c r="C6" s="107">
        <v>43270</v>
      </c>
      <c r="D6" s="110" t="s">
        <v>79</v>
      </c>
      <c r="E6" s="92" t="s">
        <v>6</v>
      </c>
      <c r="F6" s="93" t="s">
        <v>165</v>
      </c>
      <c r="G6" s="63"/>
      <c r="H6" s="94" t="s">
        <v>6</v>
      </c>
      <c r="I6" s="63"/>
      <c r="J6" s="65" t="str">
        <f t="shared" si="5"/>
        <v/>
      </c>
      <c r="K6" s="64">
        <f>IF('Resultat &amp; tabell'!J6="",0,BI6)</f>
        <v>0</v>
      </c>
      <c r="L6" s="2">
        <v>3</v>
      </c>
      <c r="M6" s="20" t="str">
        <f>VLOOKUP(L6,AT4:AY7,2,FALSE)</f>
        <v>Egypten</v>
      </c>
      <c r="N6" s="14">
        <f>VLOOKUP(M6,$AU$4:$AY$7,2,FALSE)</f>
        <v>0</v>
      </c>
      <c r="O6" s="14">
        <f>VLOOKUP(M6,$AU$4:$AY$7,3,FALSE)</f>
        <v>0</v>
      </c>
      <c r="P6" s="14">
        <f>VLOOKUP(M6,$AU$4:$AY$7,4,FALSE)</f>
        <v>0</v>
      </c>
      <c r="Q6" s="15">
        <f>VLOOKUP(M6,$AU$4:$AY$7,5,FALSE)</f>
        <v>0</v>
      </c>
      <c r="S6" s="16" t="s">
        <v>161</v>
      </c>
      <c r="T6" s="210"/>
      <c r="U6" s="211"/>
      <c r="V6" s="211"/>
      <c r="W6" s="212"/>
      <c r="X6" s="51">
        <f>IF(AND('Resultat &amp; tabell'!S6&gt;0,T6='Resultat &amp; tabell'!S6),10,0)</f>
        <v>0</v>
      </c>
      <c r="Z6" s="95" t="str">
        <f t="shared" si="6"/>
        <v>Ryssland</v>
      </c>
      <c r="AA6" s="96">
        <f t="shared" si="7"/>
        <v>0</v>
      </c>
      <c r="AB6" s="96">
        <f t="shared" si="0"/>
        <v>0</v>
      </c>
      <c r="AC6" s="96">
        <f t="shared" si="1"/>
        <v>0</v>
      </c>
      <c r="AD6" s="95" t="str">
        <f t="shared" si="8"/>
        <v>Egypten</v>
      </c>
      <c r="AE6" s="96">
        <f t="shared" si="9"/>
        <v>0</v>
      </c>
      <c r="AF6" s="77">
        <f t="shared" si="2"/>
        <v>0</v>
      </c>
      <c r="AG6" s="77">
        <f t="shared" si="3"/>
        <v>0</v>
      </c>
      <c r="AI6" s="76">
        <f>RANK($AJ6,$AJ$4:$AJ$7,1)+COUNTIF($AJ$4:$AJ6,$AJ6)-1</f>
        <v>3</v>
      </c>
      <c r="AJ6" s="76">
        <f t="shared" si="10"/>
        <v>1</v>
      </c>
      <c r="AK6" s="76">
        <f t="shared" si="11"/>
        <v>0</v>
      </c>
      <c r="AL6" s="76">
        <f t="shared" si="12"/>
        <v>0</v>
      </c>
      <c r="AM6" s="76">
        <f t="shared" si="13"/>
        <v>1</v>
      </c>
      <c r="AN6" s="95" t="s">
        <v>165</v>
      </c>
      <c r="AO6" s="76">
        <f t="shared" si="14"/>
        <v>0</v>
      </c>
      <c r="AP6" s="76">
        <f>SUMIF($Z$4:$Z$9,AN6,$AB$4:$AB$9)+SUMIF($AD$4:$AD$9,AN6,$AF$4:$AF$9)</f>
        <v>0</v>
      </c>
      <c r="AQ6" s="76">
        <f t="shared" si="15"/>
        <v>0</v>
      </c>
      <c r="AR6" s="76">
        <f t="shared" si="16"/>
        <v>0</v>
      </c>
      <c r="AT6" s="76">
        <v>3</v>
      </c>
      <c r="AU6" s="76" t="str">
        <f t="shared" si="17"/>
        <v>Egypten</v>
      </c>
      <c r="AV6" s="76">
        <f t="shared" si="18"/>
        <v>0</v>
      </c>
      <c r="AW6" s="76">
        <f t="shared" si="4"/>
        <v>0</v>
      </c>
      <c r="AX6" s="76">
        <f t="shared" si="19"/>
        <v>0</v>
      </c>
      <c r="AY6" s="76">
        <f t="shared" si="20"/>
        <v>0</v>
      </c>
      <c r="AZ6" s="97">
        <v>17</v>
      </c>
      <c r="BA6" s="108">
        <v>41807.666666666664</v>
      </c>
      <c r="BB6" s="99" t="s">
        <v>5</v>
      </c>
      <c r="BC6" s="100" t="s">
        <v>6</v>
      </c>
      <c r="BD6" s="101" t="s">
        <v>10</v>
      </c>
      <c r="BE6" s="102">
        <f>IF(G6='Resultat &amp; tabell'!$G6,2,0)</f>
        <v>2</v>
      </c>
      <c r="BF6" s="65" t="s">
        <v>6</v>
      </c>
      <c r="BG6" s="102">
        <f>IF(I6='Resultat &amp; tabell'!$I6,2,0)</f>
        <v>2</v>
      </c>
      <c r="BH6" s="102">
        <f>IF(J6='Resultat &amp; tabell'!$J6,3,0)</f>
        <v>3</v>
      </c>
      <c r="BI6" s="103">
        <f t="shared" si="21"/>
        <v>7</v>
      </c>
      <c r="BK6" s="16" t="s">
        <v>122</v>
      </c>
      <c r="BL6" s="109"/>
      <c r="BM6" s="106">
        <f>IF(T5='Resultat &amp; tabell'!$M6,20,0)</f>
        <v>20</v>
      </c>
      <c r="BN6" s="49"/>
      <c r="BO6" s="49"/>
    </row>
    <row r="7" spans="2:67" ht="14.25" customHeight="1" x14ac:dyDescent="0.25">
      <c r="B7" s="16">
        <v>18</v>
      </c>
      <c r="C7" s="107">
        <v>43271</v>
      </c>
      <c r="D7" s="91" t="s">
        <v>55</v>
      </c>
      <c r="E7" s="92" t="s">
        <v>6</v>
      </c>
      <c r="F7" s="93" t="s">
        <v>164</v>
      </c>
      <c r="G7" s="63"/>
      <c r="H7" s="94" t="s">
        <v>6</v>
      </c>
      <c r="I7" s="63"/>
      <c r="J7" s="65" t="str">
        <f t="shared" si="5"/>
        <v/>
      </c>
      <c r="K7" s="64">
        <f>IF('Resultat &amp; tabell'!J7="",0,BI7)</f>
        <v>0</v>
      </c>
      <c r="L7" s="2">
        <v>4</v>
      </c>
      <c r="M7" s="21" t="str">
        <f>VLOOKUP(L7,AT4:AY7,2,FALSE)</f>
        <v>Uruguay</v>
      </c>
      <c r="N7" s="18">
        <f>VLOOKUP(M7,$AU$4:$AY$7,2,FALSE)</f>
        <v>0</v>
      </c>
      <c r="O7" s="18">
        <f>VLOOKUP(M7,$AU$4:$AY$7,3,FALSE)</f>
        <v>0</v>
      </c>
      <c r="P7" s="18">
        <f>VLOOKUP(M7,$AU$4:$AY$7,4,FALSE)</f>
        <v>0</v>
      </c>
      <c r="Q7" s="19">
        <f>VLOOKUP(M7,$AU$4:$AY$7,5,FALSE)</f>
        <v>0</v>
      </c>
      <c r="S7" s="22"/>
      <c r="T7" s="22"/>
      <c r="U7" s="22"/>
      <c r="V7" s="22"/>
      <c r="W7" s="5"/>
      <c r="Z7" s="95" t="str">
        <f t="shared" si="6"/>
        <v>Uruguay</v>
      </c>
      <c r="AA7" s="96">
        <f t="shared" si="7"/>
        <v>0</v>
      </c>
      <c r="AB7" s="96">
        <f t="shared" si="0"/>
        <v>0</v>
      </c>
      <c r="AC7" s="96">
        <f t="shared" si="1"/>
        <v>0</v>
      </c>
      <c r="AD7" s="95" t="str">
        <f t="shared" si="8"/>
        <v>Saudiarabien</v>
      </c>
      <c r="AE7" s="96">
        <f t="shared" si="9"/>
        <v>0</v>
      </c>
      <c r="AF7" s="77">
        <f t="shared" si="2"/>
        <v>0</v>
      </c>
      <c r="AG7" s="77">
        <f t="shared" si="3"/>
        <v>0</v>
      </c>
      <c r="AI7" s="76">
        <f>RANK($AJ7,$AJ$4:$AJ$7,1)+COUNTIF($AJ$4:$AJ7,$AJ7)-1</f>
        <v>4</v>
      </c>
      <c r="AJ7" s="76">
        <f t="shared" si="10"/>
        <v>1</v>
      </c>
      <c r="AK7" s="76">
        <f t="shared" si="11"/>
        <v>0</v>
      </c>
      <c r="AL7" s="76">
        <f t="shared" si="12"/>
        <v>0</v>
      </c>
      <c r="AM7" s="76">
        <f t="shared" si="13"/>
        <v>1</v>
      </c>
      <c r="AN7" s="95" t="s">
        <v>55</v>
      </c>
      <c r="AO7" s="76">
        <f t="shared" si="14"/>
        <v>0</v>
      </c>
      <c r="AP7" s="76">
        <f>SUMIF($Z$4:$Z$9,AN7,$AB$4:$AB$9)+SUMIF($AD$4:$AD$9,AN7,$AF$4:$AF$9)</f>
        <v>0</v>
      </c>
      <c r="AQ7" s="76">
        <f t="shared" si="15"/>
        <v>0</v>
      </c>
      <c r="AR7" s="76">
        <f t="shared" si="16"/>
        <v>0</v>
      </c>
      <c r="AT7" s="76">
        <v>4</v>
      </c>
      <c r="AU7" s="76" t="str">
        <f t="shared" si="17"/>
        <v>Uruguay</v>
      </c>
      <c r="AV7" s="76">
        <f t="shared" si="18"/>
        <v>0</v>
      </c>
      <c r="AW7" s="76">
        <f t="shared" si="4"/>
        <v>0</v>
      </c>
      <c r="AX7" s="76">
        <f t="shared" si="19"/>
        <v>0</v>
      </c>
      <c r="AY7" s="76">
        <f t="shared" si="20"/>
        <v>0</v>
      </c>
      <c r="AZ7" s="97">
        <v>18</v>
      </c>
      <c r="BA7" s="108">
        <v>41808.75</v>
      </c>
      <c r="BB7" s="99" t="s">
        <v>11</v>
      </c>
      <c r="BC7" s="100" t="s">
        <v>6</v>
      </c>
      <c r="BD7" s="101" t="s">
        <v>7</v>
      </c>
      <c r="BE7" s="102">
        <f>IF(G7='Resultat &amp; tabell'!$G7,2,0)</f>
        <v>2</v>
      </c>
      <c r="BF7" s="65" t="s">
        <v>6</v>
      </c>
      <c r="BG7" s="102">
        <f>IF(I7='Resultat &amp; tabell'!$I7,2,0)</f>
        <v>2</v>
      </c>
      <c r="BH7" s="102">
        <f>IF(J7='Resultat &amp; tabell'!$J7,3,0)</f>
        <v>3</v>
      </c>
      <c r="BI7" s="103">
        <f t="shared" si="21"/>
        <v>7</v>
      </c>
      <c r="BK7" s="45"/>
      <c r="BL7" s="49"/>
      <c r="BM7" s="49"/>
      <c r="BN7" s="49"/>
      <c r="BO7" s="49"/>
    </row>
    <row r="8" spans="2:67" ht="14.25" customHeight="1" x14ac:dyDescent="0.25">
      <c r="B8" s="16">
        <v>33</v>
      </c>
      <c r="C8" s="107">
        <v>43276</v>
      </c>
      <c r="D8" s="91" t="s">
        <v>55</v>
      </c>
      <c r="E8" s="92" t="s">
        <v>6</v>
      </c>
      <c r="F8" s="93" t="s">
        <v>79</v>
      </c>
      <c r="G8" s="63"/>
      <c r="H8" s="94" t="s">
        <v>6</v>
      </c>
      <c r="I8" s="63"/>
      <c r="J8" s="65" t="str">
        <f t="shared" si="5"/>
        <v/>
      </c>
      <c r="K8" s="64">
        <f>IF('Resultat &amp; tabell'!J8="",0,BI8)</f>
        <v>0</v>
      </c>
      <c r="N8" s="23"/>
      <c r="O8" s="23"/>
      <c r="P8" s="23"/>
      <c r="Q8" s="23"/>
      <c r="S8" s="22"/>
      <c r="T8" s="22"/>
      <c r="U8" s="22"/>
      <c r="V8" s="22"/>
      <c r="W8" s="5"/>
      <c r="Z8" s="95" t="str">
        <f t="shared" si="6"/>
        <v>Uruguay</v>
      </c>
      <c r="AA8" s="96">
        <f t="shared" si="7"/>
        <v>0</v>
      </c>
      <c r="AB8" s="96">
        <f t="shared" si="0"/>
        <v>0</v>
      </c>
      <c r="AC8" s="96">
        <f t="shared" si="1"/>
        <v>0</v>
      </c>
      <c r="AD8" s="95" t="str">
        <f t="shared" si="8"/>
        <v>Ryssland</v>
      </c>
      <c r="AE8" s="96">
        <f t="shared" si="9"/>
        <v>0</v>
      </c>
      <c r="AF8" s="77">
        <f t="shared" si="2"/>
        <v>0</v>
      </c>
      <c r="AG8" s="77">
        <f t="shared" si="3"/>
        <v>0</v>
      </c>
      <c r="AZ8" s="97">
        <v>33</v>
      </c>
      <c r="BA8" s="108">
        <v>41813.708333333336</v>
      </c>
      <c r="BB8" s="99" t="s">
        <v>11</v>
      </c>
      <c r="BC8" s="100" t="s">
        <v>6</v>
      </c>
      <c r="BD8" s="101" t="s">
        <v>5</v>
      </c>
      <c r="BE8" s="102">
        <f>IF(G8='Resultat &amp; tabell'!$G8,2,0)</f>
        <v>2</v>
      </c>
      <c r="BF8" s="65" t="s">
        <v>6</v>
      </c>
      <c r="BG8" s="102">
        <f>IF(I8='Resultat &amp; tabell'!$I8,2,0)</f>
        <v>2</v>
      </c>
      <c r="BH8" s="102">
        <f>IF(J8='Resultat &amp; tabell'!$J8,3,0)</f>
        <v>3</v>
      </c>
      <c r="BI8" s="103">
        <f t="shared" si="21"/>
        <v>7</v>
      </c>
      <c r="BL8" s="49"/>
      <c r="BM8" s="49"/>
      <c r="BN8" s="49"/>
      <c r="BO8" s="49"/>
    </row>
    <row r="9" spans="2:67" ht="14.25" customHeight="1" x14ac:dyDescent="0.25">
      <c r="B9" s="111">
        <v>34</v>
      </c>
      <c r="C9" s="107">
        <v>43276</v>
      </c>
      <c r="D9" s="91" t="s">
        <v>164</v>
      </c>
      <c r="E9" s="92" t="s">
        <v>6</v>
      </c>
      <c r="F9" s="93" t="s">
        <v>165</v>
      </c>
      <c r="G9" s="63"/>
      <c r="H9" s="94" t="s">
        <v>6</v>
      </c>
      <c r="I9" s="63"/>
      <c r="J9" s="65" t="str">
        <f t="shared" si="5"/>
        <v/>
      </c>
      <c r="K9" s="64">
        <f>IF('Resultat &amp; tabell'!J9="",0,BI9)</f>
        <v>0</v>
      </c>
      <c r="N9" s="23"/>
      <c r="O9" s="23"/>
      <c r="P9" s="23"/>
      <c r="Q9" s="23"/>
      <c r="S9" s="22"/>
      <c r="T9" s="22"/>
      <c r="U9" s="22"/>
      <c r="V9" s="22"/>
      <c r="W9" s="5"/>
      <c r="Z9" s="95" t="str">
        <f t="shared" si="6"/>
        <v>Saudiarabien</v>
      </c>
      <c r="AA9" s="96">
        <f t="shared" si="7"/>
        <v>0</v>
      </c>
      <c r="AB9" s="96">
        <f t="shared" si="0"/>
        <v>0</v>
      </c>
      <c r="AC9" s="96">
        <f t="shared" si="1"/>
        <v>0</v>
      </c>
      <c r="AD9" s="95" t="str">
        <f t="shared" si="8"/>
        <v>Egypten</v>
      </c>
      <c r="AE9" s="96">
        <f t="shared" si="9"/>
        <v>0</v>
      </c>
      <c r="AF9" s="77">
        <f t="shared" si="2"/>
        <v>0</v>
      </c>
      <c r="AG9" s="77">
        <f t="shared" si="3"/>
        <v>0</v>
      </c>
      <c r="AZ9" s="112">
        <v>34</v>
      </c>
      <c r="BA9" s="113">
        <v>41813.708333333336</v>
      </c>
      <c r="BB9" s="114" t="s">
        <v>7</v>
      </c>
      <c r="BC9" s="115" t="s">
        <v>6</v>
      </c>
      <c r="BD9" s="116" t="s">
        <v>10</v>
      </c>
      <c r="BE9" s="102">
        <f>IF(G9='Resultat &amp; tabell'!$G9,2,0)</f>
        <v>2</v>
      </c>
      <c r="BF9" s="65" t="s">
        <v>6</v>
      </c>
      <c r="BG9" s="102">
        <f>IF(I9='Resultat &amp; tabell'!$I9,2,0)</f>
        <v>2</v>
      </c>
      <c r="BH9" s="102">
        <f>IF(J9='Resultat &amp; tabell'!$J9,3,0)</f>
        <v>3</v>
      </c>
      <c r="BI9" s="103">
        <f t="shared" si="21"/>
        <v>7</v>
      </c>
      <c r="BL9" s="49"/>
      <c r="BM9" s="49"/>
      <c r="BN9" s="49"/>
      <c r="BO9" s="49"/>
    </row>
    <row r="10" spans="2:67" ht="14.25" customHeight="1" x14ac:dyDescent="0.3">
      <c r="C10" s="38"/>
      <c r="F10" s="117"/>
      <c r="J10" s="24"/>
      <c r="K10" s="24"/>
      <c r="N10" s="23"/>
      <c r="O10" s="23"/>
      <c r="P10" s="23"/>
      <c r="Q10" s="23"/>
      <c r="S10" s="22"/>
      <c r="T10" s="22"/>
      <c r="U10" s="22"/>
      <c r="V10" s="22"/>
      <c r="W10" s="5"/>
      <c r="BA10" s="41"/>
      <c r="BI10" s="119"/>
      <c r="BL10" s="49"/>
      <c r="BM10" s="49"/>
      <c r="BN10" s="49"/>
      <c r="BO10" s="49"/>
    </row>
    <row r="11" spans="2:67" s="26" customFormat="1" ht="14.25" customHeight="1" x14ac:dyDescent="0.3">
      <c r="B11" s="6" t="s">
        <v>24</v>
      </c>
      <c r="C11" s="120"/>
      <c r="D11" s="72"/>
      <c r="E11" s="27"/>
      <c r="F11" s="121"/>
      <c r="G11" s="27"/>
      <c r="H11" s="27"/>
      <c r="I11" s="122"/>
      <c r="J11" s="117"/>
      <c r="K11" s="24"/>
      <c r="L11" s="25"/>
      <c r="N11" s="27"/>
      <c r="O11" s="27"/>
      <c r="P11" s="27"/>
      <c r="Q11" s="27"/>
      <c r="S11" s="26" t="s">
        <v>109</v>
      </c>
      <c r="Z11" s="74"/>
      <c r="AA11" s="96"/>
      <c r="AB11" s="96"/>
      <c r="AC11" s="96"/>
      <c r="AD11" s="74"/>
      <c r="AE11" s="123"/>
      <c r="AF11" s="124"/>
      <c r="AG11" s="124"/>
      <c r="AH11" s="123"/>
      <c r="AI11" s="76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78" t="s">
        <v>24</v>
      </c>
      <c r="BA11" s="125"/>
      <c r="BB11" s="79"/>
      <c r="BC11" s="80"/>
      <c r="BD11" s="79"/>
      <c r="BE11" s="80"/>
      <c r="BF11" s="80"/>
      <c r="BG11" s="126"/>
      <c r="BH11" s="80"/>
      <c r="BI11" s="24"/>
      <c r="BJ11" s="127"/>
      <c r="BK11" s="1"/>
      <c r="BL11" s="24"/>
      <c r="BM11" s="24"/>
      <c r="BN11" s="24"/>
      <c r="BO11" s="24"/>
    </row>
    <row r="12" spans="2:67" s="26" customFormat="1" ht="14.25" customHeight="1" x14ac:dyDescent="0.25">
      <c r="B12" s="128" t="s">
        <v>2</v>
      </c>
      <c r="C12" s="129" t="s">
        <v>3</v>
      </c>
      <c r="D12" s="187" t="s">
        <v>2</v>
      </c>
      <c r="E12" s="188"/>
      <c r="F12" s="189"/>
      <c r="G12" s="188" t="s">
        <v>4</v>
      </c>
      <c r="H12" s="188"/>
      <c r="I12" s="188"/>
      <c r="J12" s="28" t="s">
        <v>81</v>
      </c>
      <c r="K12" s="7" t="s">
        <v>89</v>
      </c>
      <c r="L12" s="25"/>
      <c r="M12" s="8" t="s">
        <v>24</v>
      </c>
      <c r="N12" s="9" t="s">
        <v>89</v>
      </c>
      <c r="O12" s="9" t="s">
        <v>90</v>
      </c>
      <c r="P12" s="9" t="s">
        <v>91</v>
      </c>
      <c r="Q12" s="10" t="s">
        <v>101</v>
      </c>
      <c r="S12" s="29" t="s">
        <v>83</v>
      </c>
      <c r="T12" s="9" t="s">
        <v>89</v>
      </c>
      <c r="U12" s="9" t="s">
        <v>102</v>
      </c>
      <c r="V12" s="10" t="s">
        <v>111</v>
      </c>
      <c r="Z12" s="85" t="s">
        <v>87</v>
      </c>
      <c r="AA12" s="85" t="s">
        <v>89</v>
      </c>
      <c r="AB12" s="85" t="s">
        <v>90</v>
      </c>
      <c r="AC12" s="85" t="s">
        <v>91</v>
      </c>
      <c r="AD12" s="85" t="s">
        <v>88</v>
      </c>
      <c r="AE12" s="85" t="s">
        <v>89</v>
      </c>
      <c r="AF12" s="85" t="s">
        <v>90</v>
      </c>
      <c r="AG12" s="85" t="s">
        <v>91</v>
      </c>
      <c r="AH12" s="123"/>
      <c r="AI12" s="86" t="s">
        <v>99</v>
      </c>
      <c r="AJ12" s="86" t="s">
        <v>98</v>
      </c>
      <c r="AK12" s="86" t="s">
        <v>97</v>
      </c>
      <c r="AL12" s="85" t="s">
        <v>96</v>
      </c>
      <c r="AM12" s="85" t="s">
        <v>95</v>
      </c>
      <c r="AN12" s="85" t="s">
        <v>92</v>
      </c>
      <c r="AO12" s="85" t="s">
        <v>89</v>
      </c>
      <c r="AP12" s="85" t="s">
        <v>90</v>
      </c>
      <c r="AQ12" s="85" t="s">
        <v>91</v>
      </c>
      <c r="AR12" s="86" t="s">
        <v>93</v>
      </c>
      <c r="AS12" s="123"/>
      <c r="AT12" s="85" t="s">
        <v>94</v>
      </c>
      <c r="AU12" s="85" t="s">
        <v>92</v>
      </c>
      <c r="AV12" s="85" t="s">
        <v>89</v>
      </c>
      <c r="AW12" s="85" t="s">
        <v>90</v>
      </c>
      <c r="AX12" s="85" t="s">
        <v>91</v>
      </c>
      <c r="AY12" s="86" t="s">
        <v>93</v>
      </c>
      <c r="AZ12" s="130" t="s">
        <v>2</v>
      </c>
      <c r="BA12" s="131" t="s">
        <v>3</v>
      </c>
      <c r="BB12" s="190" t="s">
        <v>2</v>
      </c>
      <c r="BC12" s="191"/>
      <c r="BD12" s="192"/>
      <c r="BE12" s="190" t="s">
        <v>4</v>
      </c>
      <c r="BF12" s="191"/>
      <c r="BG12" s="191"/>
      <c r="BH12" s="69" t="s">
        <v>81</v>
      </c>
      <c r="BI12" s="28" t="s">
        <v>89</v>
      </c>
      <c r="BJ12" s="127"/>
      <c r="BK12" s="132"/>
      <c r="BL12" s="24"/>
      <c r="BM12" s="24"/>
      <c r="BN12" s="24"/>
      <c r="BO12" s="24"/>
    </row>
    <row r="13" spans="2:67" ht="14.25" customHeight="1" x14ac:dyDescent="0.25">
      <c r="B13" s="16">
        <v>4</v>
      </c>
      <c r="C13" s="107">
        <v>43266</v>
      </c>
      <c r="D13" s="91" t="s">
        <v>166</v>
      </c>
      <c r="E13" s="92" t="s">
        <v>6</v>
      </c>
      <c r="F13" s="93" t="s">
        <v>69</v>
      </c>
      <c r="G13" s="63"/>
      <c r="H13" s="94" t="s">
        <v>6</v>
      </c>
      <c r="I13" s="63"/>
      <c r="J13" s="65" t="str">
        <f>IF(OR(ISBLANK(G13),ISBLANK(I13)),"",IF(G13&gt;I13,1,IF(G13&lt;I13,2,"X")))</f>
        <v/>
      </c>
      <c r="K13" s="64">
        <f>IF('Resultat &amp; tabell'!J13="",0,BI13)</f>
        <v>0</v>
      </c>
      <c r="L13" s="12">
        <v>1</v>
      </c>
      <c r="M13" s="13" t="str">
        <f>VLOOKUP(L13,AT13:AY16,2,FALSE)</f>
        <v>Portugal</v>
      </c>
      <c r="N13" s="14">
        <f>VLOOKUP(M13,$AU$13:$AY$16,2,FALSE)</f>
        <v>0</v>
      </c>
      <c r="O13" s="14">
        <f>VLOOKUP(M13,$AU$13:$AY$16,3,FALSE)</f>
        <v>0</v>
      </c>
      <c r="P13" s="14">
        <f>VLOOKUP(M13,$AU$13:$AY$16,4,FALSE)</f>
        <v>0</v>
      </c>
      <c r="Q13" s="15">
        <f>VLOOKUP(M13,$AU$13:$AY$16,5,FALSE)</f>
        <v>0</v>
      </c>
      <c r="S13" s="30" t="s">
        <v>108</v>
      </c>
      <c r="T13" s="47">
        <f>SUM(K4:K72)</f>
        <v>0</v>
      </c>
      <c r="U13" s="47">
        <v>0</v>
      </c>
      <c r="V13" s="48">
        <f t="shared" ref="V13:V18" si="22">SUM(T13:U13)</f>
        <v>0</v>
      </c>
      <c r="W13" s="5"/>
      <c r="Z13" s="95" t="str">
        <f>D13</f>
        <v>Marocko</v>
      </c>
      <c r="AA13" s="96">
        <f t="shared" ref="AA13:AA18" si="23">IF(G13="",0,IF($G13&lt;$I13,0,IF($G13=$I13,1,3)))</f>
        <v>0</v>
      </c>
      <c r="AB13" s="96">
        <f t="shared" ref="AB13:AB18" si="24">G13</f>
        <v>0</v>
      </c>
      <c r="AC13" s="96">
        <f t="shared" ref="AC13:AC18" si="25">I13</f>
        <v>0</v>
      </c>
      <c r="AD13" s="95" t="str">
        <f>F13</f>
        <v>Iran</v>
      </c>
      <c r="AE13" s="96">
        <f t="shared" ref="AE13:AE18" si="26">IF(I13="",0,IF(I13&lt;G13,0,IF(G13=I13,1,3)))</f>
        <v>0</v>
      </c>
      <c r="AF13" s="77">
        <f t="shared" ref="AF13:AF18" si="27">I13</f>
        <v>0</v>
      </c>
      <c r="AG13" s="77">
        <f t="shared" ref="AG13:AG18" si="28">G13</f>
        <v>0</v>
      </c>
      <c r="AI13" s="76">
        <f>RANK($AJ13,$AJ$13:$AJ$16,1)+COUNTIF($AJ$13:$AJ13,$AJ13)-1</f>
        <v>1</v>
      </c>
      <c r="AJ13" s="76">
        <f>AK13+AL13+AM13</f>
        <v>1</v>
      </c>
      <c r="AK13" s="76">
        <f>SUMPRODUCT(($AO$13:$AO$16=AO13)*($AR$13:$AR$16=AR13)*($AP$13:$AP$16&gt;AP13))</f>
        <v>0</v>
      </c>
      <c r="AL13" s="76">
        <f>SUMPRODUCT(($AO$13:$AO$16=AO13)*($AR$13:$AR$16&gt;AR13))</f>
        <v>0</v>
      </c>
      <c r="AM13" s="76">
        <f>RANK(AO13,$AO$13:$AO$16)</f>
        <v>1</v>
      </c>
      <c r="AN13" s="95" t="s">
        <v>73</v>
      </c>
      <c r="AO13" s="76">
        <f>SUMIF($Z$13:$Z$18,$AN13,$AA$13:$AA$18)+SUMIF($AD$13:$AD$18,$AN13,$AE$13:$AE$18)</f>
        <v>0</v>
      </c>
      <c r="AP13" s="76">
        <f>SUMIF($Z$13:$Z$18,$AN13,$AB$13:$AB$18)+SUMIF($AD$13:$AD$18,$AN13,$AF$13:$AF$18)</f>
        <v>0</v>
      </c>
      <c r="AQ13" s="76">
        <f>SUMIF($Z$13:$Z$18,$AN13,$AC$13:$AC$18)+SUMIF($AD$13:$AD$18,$AN13,$AG$13:$AG$18)</f>
        <v>0</v>
      </c>
      <c r="AR13" s="76">
        <f>AP13-AQ13</f>
        <v>0</v>
      </c>
      <c r="AT13" s="76">
        <v>1</v>
      </c>
      <c r="AU13" s="76" t="str">
        <f>VLOOKUP($AT13,$AI$13:$AR$16,6,FALSE)</f>
        <v>Portugal</v>
      </c>
      <c r="AV13" s="76">
        <f>VLOOKUP($AU13,$AN$13:$AR$16,2,FALSE)</f>
        <v>0</v>
      </c>
      <c r="AW13" s="76">
        <f>VLOOKUP($AU13,$AN$13:$AR$16,3,FALSE)</f>
        <v>0</v>
      </c>
      <c r="AX13" s="76">
        <f>VLOOKUP($AU13,$AN$13:$AR$16,4,FALSE)</f>
        <v>0</v>
      </c>
      <c r="AY13" s="76">
        <f>VLOOKUP($AU13,$AN$13:$AR$16,5,FALSE)</f>
        <v>0</v>
      </c>
      <c r="AZ13" s="97">
        <v>3</v>
      </c>
      <c r="BA13" s="108">
        <v>41803.666666666664</v>
      </c>
      <c r="BB13" s="99" t="s">
        <v>27</v>
      </c>
      <c r="BC13" s="100" t="s">
        <v>6</v>
      </c>
      <c r="BD13" s="101" t="s">
        <v>28</v>
      </c>
      <c r="BE13" s="102">
        <f>IF(G13='Resultat &amp; tabell'!$G13,2,0)</f>
        <v>2</v>
      </c>
      <c r="BF13" s="65" t="s">
        <v>6</v>
      </c>
      <c r="BG13" s="102">
        <f>IF(I13='Resultat &amp; tabell'!$I13,2,0)</f>
        <v>2</v>
      </c>
      <c r="BH13" s="102">
        <f>IF(J13='Resultat &amp; tabell'!$J13,3,0)</f>
        <v>3</v>
      </c>
      <c r="BI13" s="103">
        <f t="shared" ref="BI13:BI18" si="29">SUM(BE13+BG13+BH13)</f>
        <v>7</v>
      </c>
      <c r="BJ13" s="104"/>
      <c r="BK13" s="78"/>
      <c r="BL13" s="49"/>
      <c r="BM13" s="49"/>
      <c r="BN13" s="49"/>
      <c r="BO13" s="49"/>
    </row>
    <row r="14" spans="2:67" ht="14.25" customHeight="1" x14ac:dyDescent="0.25">
      <c r="B14" s="16">
        <v>3</v>
      </c>
      <c r="C14" s="107">
        <v>43266</v>
      </c>
      <c r="D14" s="91" t="s">
        <v>73</v>
      </c>
      <c r="E14" s="92" t="s">
        <v>6</v>
      </c>
      <c r="F14" s="93" t="s">
        <v>27</v>
      </c>
      <c r="G14" s="63"/>
      <c r="H14" s="94" t="s">
        <v>6</v>
      </c>
      <c r="I14" s="63"/>
      <c r="J14" s="65" t="str">
        <f t="shared" ref="J14:J18" si="30">IF(OR(ISBLANK(G14),ISBLANK(I14)),"",IF(G14&gt;I14,1,IF(G14&lt;I14,2,"X")))</f>
        <v/>
      </c>
      <c r="K14" s="64">
        <f>IF('Resultat &amp; tabell'!J14="",0,BI14)</f>
        <v>0</v>
      </c>
      <c r="L14" s="2">
        <v>2</v>
      </c>
      <c r="M14" s="17" t="str">
        <f>VLOOKUP(L14,AT13:AY16,2,FALSE)</f>
        <v>Spanien</v>
      </c>
      <c r="N14" s="18">
        <f>VLOOKUP(M14,$AU$13:$AY$16,2,FALSE)</f>
        <v>0</v>
      </c>
      <c r="O14" s="18">
        <f>VLOOKUP(M14,$AU$13:$AY$16,3,FALSE)</f>
        <v>0</v>
      </c>
      <c r="P14" s="18">
        <f>VLOOKUP(M14,$AU$13:$AY$16,4,FALSE)</f>
        <v>0</v>
      </c>
      <c r="Q14" s="19">
        <f>VLOOKUP(M14,$AU$13:$AY$16,5,FALSE)</f>
        <v>0</v>
      </c>
      <c r="S14" s="31" t="s">
        <v>1</v>
      </c>
      <c r="T14" s="49">
        <f>SUM(K76:K83)</f>
        <v>0</v>
      </c>
      <c r="U14" s="49">
        <f>P76</f>
        <v>0</v>
      </c>
      <c r="V14" s="50">
        <f t="shared" si="22"/>
        <v>0</v>
      </c>
      <c r="W14" s="5"/>
      <c r="Z14" s="95" t="str">
        <f t="shared" ref="Z14:Z18" si="31">D14</f>
        <v>Portugal</v>
      </c>
      <c r="AA14" s="96">
        <f t="shared" si="23"/>
        <v>0</v>
      </c>
      <c r="AB14" s="96">
        <f t="shared" si="24"/>
        <v>0</v>
      </c>
      <c r="AC14" s="96">
        <f t="shared" si="25"/>
        <v>0</v>
      </c>
      <c r="AD14" s="95" t="str">
        <f t="shared" ref="AD14:AD18" si="32">F14</f>
        <v>Spanien</v>
      </c>
      <c r="AE14" s="96">
        <f t="shared" si="26"/>
        <v>0</v>
      </c>
      <c r="AF14" s="77">
        <f t="shared" si="27"/>
        <v>0</v>
      </c>
      <c r="AG14" s="77">
        <f t="shared" si="28"/>
        <v>0</v>
      </c>
      <c r="AI14" s="76">
        <f>RANK($AJ14,$AJ$13:$AJ$16,1)+COUNTIF($AJ$13:$AJ14,$AJ14)-1</f>
        <v>2</v>
      </c>
      <c r="AJ14" s="76">
        <f>AK14+AL14+AM14</f>
        <v>1</v>
      </c>
      <c r="AK14" s="76">
        <f>SUMPRODUCT(($AO$13:$AO$16=AO14)*($AR$13:$AR$16=AR14)*($AP$13:$AP$16&gt;AP14))</f>
        <v>0</v>
      </c>
      <c r="AL14" s="76">
        <f>SUMPRODUCT(($AO$13:$AO$16=AO14)*($AR$13:$AR$16&gt;AR14))</f>
        <v>0</v>
      </c>
      <c r="AM14" s="76">
        <f>RANK(AO14,$AO$13:$AO$16)</f>
        <v>1</v>
      </c>
      <c r="AN14" s="95" t="s">
        <v>27</v>
      </c>
      <c r="AO14" s="76">
        <f>SUMIF($Z$13:$Z$18,$AN14,$AA$13:$AA$18)+SUMIF($AD$13:$AD$18,$AN14,$AE$13:$AE$18)</f>
        <v>0</v>
      </c>
      <c r="AP14" s="76">
        <f>SUMIF($Z$13:$Z$18,$AN14,$AB$13:$AB$18)+SUMIF($AD$13:$AD$18,AN14,$AF$13:$AF$18)</f>
        <v>0</v>
      </c>
      <c r="AQ14" s="76">
        <f>SUMIF($Z$13:$Z$18,$AN14,$AC$13:$AC$18)+SUMIF($AD$13:$AD$18,$AN14,$AG$13:$AG$18)</f>
        <v>0</v>
      </c>
      <c r="AR14" s="76">
        <f>AP14-AQ14</f>
        <v>0</v>
      </c>
      <c r="AT14" s="76">
        <v>2</v>
      </c>
      <c r="AU14" s="76" t="str">
        <f>VLOOKUP($AT14,$AI$13:$AR$16,6,FALSE)</f>
        <v>Spanien</v>
      </c>
      <c r="AV14" s="76">
        <f>VLOOKUP($AU14,$AN$13:$AR$16,2,FALSE)</f>
        <v>0</v>
      </c>
      <c r="AW14" s="76">
        <f>VLOOKUP($AU14,$AN$13:$AR$16,3,FALSE)</f>
        <v>0</v>
      </c>
      <c r="AX14" s="76">
        <f>VLOOKUP($AU14,$AN$13:$AR$16,4,FALSE)</f>
        <v>0</v>
      </c>
      <c r="AY14" s="76">
        <f>VLOOKUP($AU14,$AN$13:$AR$16,5,FALSE)</f>
        <v>0</v>
      </c>
      <c r="AZ14" s="97">
        <v>4</v>
      </c>
      <c r="BA14" s="108">
        <v>41803.75</v>
      </c>
      <c r="BB14" s="99" t="s">
        <v>30</v>
      </c>
      <c r="BC14" s="100" t="s">
        <v>6</v>
      </c>
      <c r="BD14" s="101" t="s">
        <v>31</v>
      </c>
      <c r="BE14" s="102">
        <f>IF(G14='Resultat &amp; tabell'!$G14,2,0)</f>
        <v>2</v>
      </c>
      <c r="BF14" s="65" t="s">
        <v>6</v>
      </c>
      <c r="BG14" s="102">
        <f>IF(I14='Resultat &amp; tabell'!$I14,2,0)</f>
        <v>2</v>
      </c>
      <c r="BH14" s="102">
        <f>IF(J14='Resultat &amp; tabell'!$J14,3,0)</f>
        <v>3</v>
      </c>
      <c r="BI14" s="103">
        <f t="shared" si="29"/>
        <v>7</v>
      </c>
      <c r="BK14" s="78"/>
      <c r="BL14" s="49"/>
      <c r="BM14" s="49"/>
      <c r="BN14" s="49"/>
      <c r="BO14" s="49"/>
    </row>
    <row r="15" spans="2:67" ht="14.25" customHeight="1" x14ac:dyDescent="0.25">
      <c r="B15" s="16">
        <v>19</v>
      </c>
      <c r="C15" s="107">
        <v>43271</v>
      </c>
      <c r="D15" s="91" t="s">
        <v>73</v>
      </c>
      <c r="E15" s="92" t="s">
        <v>6</v>
      </c>
      <c r="F15" s="93" t="s">
        <v>166</v>
      </c>
      <c r="G15" s="63"/>
      <c r="H15" s="94" t="s">
        <v>6</v>
      </c>
      <c r="I15" s="63"/>
      <c r="J15" s="65" t="str">
        <f t="shared" si="30"/>
        <v/>
      </c>
      <c r="K15" s="64">
        <f>IF('Resultat &amp; tabell'!J15="",0,BI15)</f>
        <v>0</v>
      </c>
      <c r="L15" s="2">
        <v>3</v>
      </c>
      <c r="M15" s="20" t="str">
        <f>VLOOKUP(L15,AT13:AY16,2,FALSE)</f>
        <v>Marocko</v>
      </c>
      <c r="N15" s="32">
        <f>VLOOKUP(M15,$AU$13:$AY$16,2,FALSE)</f>
        <v>0</v>
      </c>
      <c r="O15" s="32">
        <f>VLOOKUP(M15,$AU$13:$AY$16,3,FALSE)</f>
        <v>0</v>
      </c>
      <c r="P15" s="32">
        <f>VLOOKUP(M15,$AU$13:$AY$16,4,FALSE)</f>
        <v>0</v>
      </c>
      <c r="Q15" s="33">
        <f>VLOOKUP(M15,$AU$13:$AY$16,5,FALSE)</f>
        <v>0</v>
      </c>
      <c r="S15" s="31" t="s">
        <v>29</v>
      </c>
      <c r="T15" s="49">
        <f>SUM(K87:K90)</f>
        <v>0</v>
      </c>
      <c r="U15" s="49">
        <f>P87</f>
        <v>0</v>
      </c>
      <c r="V15" s="50">
        <f t="shared" si="22"/>
        <v>0</v>
      </c>
      <c r="W15" s="5"/>
      <c r="Z15" s="95" t="str">
        <f t="shared" si="31"/>
        <v>Portugal</v>
      </c>
      <c r="AA15" s="96">
        <f t="shared" si="23"/>
        <v>0</v>
      </c>
      <c r="AB15" s="96">
        <f t="shared" si="24"/>
        <v>0</v>
      </c>
      <c r="AC15" s="96">
        <f t="shared" si="25"/>
        <v>0</v>
      </c>
      <c r="AD15" s="95" t="str">
        <f t="shared" si="32"/>
        <v>Marocko</v>
      </c>
      <c r="AE15" s="96">
        <f t="shared" si="26"/>
        <v>0</v>
      </c>
      <c r="AF15" s="77">
        <f t="shared" si="27"/>
        <v>0</v>
      </c>
      <c r="AG15" s="77">
        <f t="shared" si="28"/>
        <v>0</v>
      </c>
      <c r="AI15" s="76">
        <f>RANK($AJ15,$AJ$13:$AJ$16,1)+COUNTIF($AJ$13:$AJ15,$AJ15)-1</f>
        <v>3</v>
      </c>
      <c r="AJ15" s="76">
        <f>AK15+AL15+AM15</f>
        <v>1</v>
      </c>
      <c r="AK15" s="76">
        <f>SUMPRODUCT(($AO$13:$AO$16=AO15)*($AR$13:$AR$16=AR15)*($AP$13:$AP$16&gt;AP15))</f>
        <v>0</v>
      </c>
      <c r="AL15" s="76">
        <f>SUMPRODUCT(($AO$13:$AO$16=AO15)*($AR$13:$AR$16&gt;AR15))</f>
        <v>0</v>
      </c>
      <c r="AM15" s="76">
        <f>RANK(AO15,$AO$13:$AO$16)</f>
        <v>1</v>
      </c>
      <c r="AN15" s="95" t="s">
        <v>166</v>
      </c>
      <c r="AO15" s="76">
        <f>SUMIF($Z$13:$Z$18,$AN15,$AA$13:$AA$18)+SUMIF($AD$13:$AD$18,$AN15,$AE$13:$AE$18)</f>
        <v>0</v>
      </c>
      <c r="AP15" s="76">
        <f>SUMIF($Z$13:$Z$18,$AN15,$AB$13:$AB$18)+SUMIF($AD$13:$AD$18,AN15,$AF$13:$AF$18)</f>
        <v>0</v>
      </c>
      <c r="AQ15" s="76">
        <f>SUMIF($Z$13:$Z$18,$AN15,$AC$13:$AC$18)+SUMIF($AD$13:$AD$18,$AN15,$AG$13:$AG$18)</f>
        <v>0</v>
      </c>
      <c r="AR15" s="76">
        <f>AP15-AQ15</f>
        <v>0</v>
      </c>
      <c r="AT15" s="76">
        <v>3</v>
      </c>
      <c r="AU15" s="76" t="str">
        <f>VLOOKUP($AT15,$AI$13:$AR$16,6,FALSE)</f>
        <v>Marocko</v>
      </c>
      <c r="AV15" s="76">
        <f>VLOOKUP($AU15,$AN$13:$AR$16,2,FALSE)</f>
        <v>0</v>
      </c>
      <c r="AW15" s="76">
        <f>VLOOKUP($AU15,$AN$13:$AR$16,3,FALSE)</f>
        <v>0</v>
      </c>
      <c r="AX15" s="76">
        <f>VLOOKUP($AU15,$AN$13:$AR$16,4,FALSE)</f>
        <v>0</v>
      </c>
      <c r="AY15" s="76">
        <f>VLOOKUP($AU15,$AN$13:$AR$16,5,FALSE)</f>
        <v>0</v>
      </c>
      <c r="AZ15" s="97">
        <v>19</v>
      </c>
      <c r="BA15" s="108">
        <v>41808.666666666664</v>
      </c>
      <c r="BB15" s="99" t="s">
        <v>27</v>
      </c>
      <c r="BC15" s="100" t="s">
        <v>6</v>
      </c>
      <c r="BD15" s="101" t="s">
        <v>30</v>
      </c>
      <c r="BE15" s="102">
        <f>IF(G15='Resultat &amp; tabell'!$G15,2,0)</f>
        <v>2</v>
      </c>
      <c r="BF15" s="65" t="s">
        <v>6</v>
      </c>
      <c r="BG15" s="102">
        <f>IF(I15='Resultat &amp; tabell'!$I15,2,0)</f>
        <v>2</v>
      </c>
      <c r="BH15" s="102">
        <f>IF(J15='Resultat &amp; tabell'!$J15,3,0)</f>
        <v>3</v>
      </c>
      <c r="BI15" s="103">
        <f t="shared" si="29"/>
        <v>7</v>
      </c>
      <c r="BK15" s="45"/>
      <c r="BL15" s="49"/>
      <c r="BM15" s="49"/>
      <c r="BN15" s="49"/>
      <c r="BO15" s="49"/>
    </row>
    <row r="16" spans="2:67" ht="14.25" customHeight="1" x14ac:dyDescent="0.25">
      <c r="B16" s="16">
        <v>20</v>
      </c>
      <c r="C16" s="107">
        <v>43271</v>
      </c>
      <c r="D16" s="91" t="s">
        <v>69</v>
      </c>
      <c r="E16" s="92" t="s">
        <v>6</v>
      </c>
      <c r="F16" s="93" t="s">
        <v>27</v>
      </c>
      <c r="G16" s="63"/>
      <c r="H16" s="94" t="s">
        <v>6</v>
      </c>
      <c r="I16" s="63"/>
      <c r="J16" s="65" t="str">
        <f t="shared" si="30"/>
        <v/>
      </c>
      <c r="K16" s="64">
        <f>IF('Resultat &amp; tabell'!J16="",0,BI16)</f>
        <v>0</v>
      </c>
      <c r="L16" s="2">
        <v>4</v>
      </c>
      <c r="M16" s="21" t="str">
        <f>VLOOKUP(L16,AT13:AY16,2,FALSE)</f>
        <v>Iran</v>
      </c>
      <c r="N16" s="18">
        <f>VLOOKUP(M16,$AU$13:$AY$16,2,FALSE)</f>
        <v>0</v>
      </c>
      <c r="O16" s="18">
        <f>VLOOKUP(M16,$AU$13:$AY$16,3,FALSE)</f>
        <v>0</v>
      </c>
      <c r="P16" s="18">
        <f>VLOOKUP(M16,$AU$13:$AY$16,4,FALSE)</f>
        <v>0</v>
      </c>
      <c r="Q16" s="19">
        <f>VLOOKUP(M16,$AU$13:$AY$16,5,FALSE)</f>
        <v>0</v>
      </c>
      <c r="S16" s="31" t="s">
        <v>41</v>
      </c>
      <c r="T16" s="49">
        <f>SUM(K94:K95)</f>
        <v>0</v>
      </c>
      <c r="U16" s="49">
        <f>P94</f>
        <v>0</v>
      </c>
      <c r="V16" s="50">
        <f t="shared" si="22"/>
        <v>0</v>
      </c>
      <c r="W16" s="5"/>
      <c r="Z16" s="95" t="str">
        <f t="shared" si="31"/>
        <v>Iran</v>
      </c>
      <c r="AA16" s="96">
        <f t="shared" si="23"/>
        <v>0</v>
      </c>
      <c r="AB16" s="96">
        <f t="shared" si="24"/>
        <v>0</v>
      </c>
      <c r="AC16" s="96">
        <f t="shared" si="25"/>
        <v>0</v>
      </c>
      <c r="AD16" s="95" t="str">
        <f t="shared" si="32"/>
        <v>Spanien</v>
      </c>
      <c r="AE16" s="96">
        <f t="shared" si="26"/>
        <v>0</v>
      </c>
      <c r="AF16" s="77">
        <f t="shared" si="27"/>
        <v>0</v>
      </c>
      <c r="AG16" s="77">
        <f t="shared" si="28"/>
        <v>0</v>
      </c>
      <c r="AI16" s="76">
        <f>RANK($AJ16,$AJ$13:$AJ$16,1)+COUNTIF($AJ$13:$AJ16,$AJ16)-1</f>
        <v>4</v>
      </c>
      <c r="AJ16" s="76">
        <f>AK16+AL16+AM16</f>
        <v>1</v>
      </c>
      <c r="AK16" s="76">
        <f>SUMPRODUCT(($AO$13:$AO$16=AO16)*($AR$13:$AR$16=AR16)*($AP$13:$AP$16&gt;AP16))</f>
        <v>0</v>
      </c>
      <c r="AL16" s="76">
        <f>SUMPRODUCT(($AO$13:$AO$16=AO16)*($AR$13:$AR$16&gt;AR16))</f>
        <v>0</v>
      </c>
      <c r="AM16" s="76">
        <f>RANK(AO16,$AO$13:$AO$16)</f>
        <v>1</v>
      </c>
      <c r="AN16" s="95" t="s">
        <v>69</v>
      </c>
      <c r="AO16" s="76">
        <f>SUMIF($Z$13:$Z$18,$AN16,$AA$13:$AA$18)+SUMIF($AD$13:$AD$18,$AN16,$AE$13:$AE$18)</f>
        <v>0</v>
      </c>
      <c r="AP16" s="76">
        <f>SUMIF($Z$13:$Z$18,$AN16,$AB$13:$AB$18)+SUMIF($AD$13:$AD$18,AN16,$AF$13:$AF$18)</f>
        <v>0</v>
      </c>
      <c r="AQ16" s="76">
        <f>SUMIF($Z$13:$Z$18,$AN16,$AC$13:$AC$18)+SUMIF($AD$13:$AD$18,$AN16,$AG$13:$AG$18)</f>
        <v>0</v>
      </c>
      <c r="AR16" s="76">
        <f>AP16-AQ16</f>
        <v>0</v>
      </c>
      <c r="AT16" s="76">
        <v>4</v>
      </c>
      <c r="AU16" s="76" t="str">
        <f>VLOOKUP($AT16,$AI$13:$AR$16,6,FALSE)</f>
        <v>Iran</v>
      </c>
      <c r="AV16" s="76">
        <f>VLOOKUP($AU16,$AN$13:$AR$16,2,FALSE)</f>
        <v>0</v>
      </c>
      <c r="AW16" s="76">
        <f>VLOOKUP($AU16,$AN$13:$AR$16,3,FALSE)</f>
        <v>0</v>
      </c>
      <c r="AX16" s="76">
        <f>VLOOKUP($AU16,$AN$13:$AR$16,4,FALSE)</f>
        <v>0</v>
      </c>
      <c r="AY16" s="76">
        <f>VLOOKUP($AU16,$AN$13:$AR$16,5,FALSE)</f>
        <v>0</v>
      </c>
      <c r="AZ16" s="97">
        <v>20</v>
      </c>
      <c r="BA16" s="108">
        <v>41808.541666666664</v>
      </c>
      <c r="BB16" s="99" t="s">
        <v>31</v>
      </c>
      <c r="BC16" s="100" t="s">
        <v>6</v>
      </c>
      <c r="BD16" s="101" t="s">
        <v>28</v>
      </c>
      <c r="BE16" s="102">
        <f>IF(G16='Resultat &amp; tabell'!$G16,2,0)</f>
        <v>2</v>
      </c>
      <c r="BF16" s="65" t="s">
        <v>6</v>
      </c>
      <c r="BG16" s="102">
        <f>IF(I16='Resultat &amp; tabell'!$I16,2,0)</f>
        <v>2</v>
      </c>
      <c r="BH16" s="102">
        <f>IF(J16='Resultat &amp; tabell'!$J16,3,0)</f>
        <v>3</v>
      </c>
      <c r="BI16" s="103">
        <f t="shared" si="29"/>
        <v>7</v>
      </c>
      <c r="BK16" s="45"/>
      <c r="BL16" s="49"/>
      <c r="BM16" s="49"/>
      <c r="BN16" s="49"/>
      <c r="BO16" s="49"/>
    </row>
    <row r="17" spans="2:67" ht="14.25" customHeight="1" x14ac:dyDescent="0.25">
      <c r="B17" s="16">
        <v>35</v>
      </c>
      <c r="C17" s="107">
        <v>43276</v>
      </c>
      <c r="D17" s="91" t="s">
        <v>69</v>
      </c>
      <c r="E17" s="92" t="s">
        <v>6</v>
      </c>
      <c r="F17" s="93" t="s">
        <v>73</v>
      </c>
      <c r="G17" s="63"/>
      <c r="H17" s="94" t="s">
        <v>6</v>
      </c>
      <c r="I17" s="63"/>
      <c r="J17" s="65" t="str">
        <f t="shared" si="30"/>
        <v/>
      </c>
      <c r="K17" s="64">
        <f>IF('Resultat &amp; tabell'!J17="",0,BI17)</f>
        <v>0</v>
      </c>
      <c r="N17" s="23"/>
      <c r="O17" s="23"/>
      <c r="P17" s="23"/>
      <c r="Q17" s="23"/>
      <c r="S17" s="31" t="s">
        <v>50</v>
      </c>
      <c r="T17" s="49">
        <f>SUM(K99)</f>
        <v>0</v>
      </c>
      <c r="U17" s="49">
        <f>P99</f>
        <v>0</v>
      </c>
      <c r="V17" s="50">
        <f t="shared" si="22"/>
        <v>0</v>
      </c>
      <c r="W17" s="5"/>
      <c r="Z17" s="95" t="str">
        <f t="shared" si="31"/>
        <v>Iran</v>
      </c>
      <c r="AA17" s="96">
        <f t="shared" si="23"/>
        <v>0</v>
      </c>
      <c r="AB17" s="96">
        <f t="shared" si="24"/>
        <v>0</v>
      </c>
      <c r="AC17" s="96">
        <f t="shared" si="25"/>
        <v>0</v>
      </c>
      <c r="AD17" s="95" t="str">
        <f t="shared" si="32"/>
        <v>Portugal</v>
      </c>
      <c r="AE17" s="96">
        <f t="shared" si="26"/>
        <v>0</v>
      </c>
      <c r="AF17" s="77">
        <f t="shared" si="27"/>
        <v>0</v>
      </c>
      <c r="AG17" s="77">
        <f t="shared" si="28"/>
        <v>0</v>
      </c>
      <c r="AZ17" s="97">
        <v>35</v>
      </c>
      <c r="BA17" s="108">
        <v>41813.541666666664</v>
      </c>
      <c r="BB17" s="99" t="s">
        <v>31</v>
      </c>
      <c r="BC17" s="100" t="s">
        <v>6</v>
      </c>
      <c r="BD17" s="101" t="s">
        <v>27</v>
      </c>
      <c r="BE17" s="102">
        <f>IF(G17='Resultat &amp; tabell'!$G17,2,0)</f>
        <v>2</v>
      </c>
      <c r="BF17" s="65" t="s">
        <v>6</v>
      </c>
      <c r="BG17" s="102">
        <f>IF(I17='Resultat &amp; tabell'!$I17,2,0)</f>
        <v>2</v>
      </c>
      <c r="BH17" s="102">
        <f>IF(J17='Resultat &amp; tabell'!$J17,3,0)</f>
        <v>3</v>
      </c>
      <c r="BI17" s="103">
        <f t="shared" si="29"/>
        <v>7</v>
      </c>
      <c r="BL17" s="49"/>
      <c r="BM17" s="49"/>
      <c r="BN17" s="49"/>
      <c r="BO17" s="49"/>
    </row>
    <row r="18" spans="2:67" ht="14.25" customHeight="1" x14ac:dyDescent="0.25">
      <c r="B18" s="16">
        <v>36</v>
      </c>
      <c r="C18" s="107">
        <v>43276</v>
      </c>
      <c r="D18" s="91" t="s">
        <v>27</v>
      </c>
      <c r="E18" s="92" t="s">
        <v>6</v>
      </c>
      <c r="F18" s="93" t="s">
        <v>166</v>
      </c>
      <c r="G18" s="63"/>
      <c r="H18" s="94" t="s">
        <v>6</v>
      </c>
      <c r="I18" s="63"/>
      <c r="J18" s="65" t="str">
        <f t="shared" si="30"/>
        <v/>
      </c>
      <c r="K18" s="64">
        <f>IF('Resultat &amp; tabell'!J18="",0,BI18)</f>
        <v>0</v>
      </c>
      <c r="M18" s="133"/>
      <c r="N18" s="23"/>
      <c r="O18" s="23"/>
      <c r="P18" s="23"/>
      <c r="Q18" s="23"/>
      <c r="S18" s="31" t="s">
        <v>54</v>
      </c>
      <c r="T18" s="49">
        <f>SUM(K103)</f>
        <v>0</v>
      </c>
      <c r="U18" s="49">
        <f>P103</f>
        <v>0</v>
      </c>
      <c r="V18" s="50">
        <f t="shared" si="22"/>
        <v>0</v>
      </c>
      <c r="W18" s="5"/>
      <c r="Z18" s="95" t="str">
        <f t="shared" si="31"/>
        <v>Spanien</v>
      </c>
      <c r="AA18" s="96">
        <f t="shared" si="23"/>
        <v>0</v>
      </c>
      <c r="AB18" s="96">
        <f t="shared" si="24"/>
        <v>0</v>
      </c>
      <c r="AC18" s="96">
        <f t="shared" si="25"/>
        <v>0</v>
      </c>
      <c r="AD18" s="95" t="str">
        <f t="shared" si="32"/>
        <v>Marocko</v>
      </c>
      <c r="AE18" s="96">
        <f t="shared" si="26"/>
        <v>0</v>
      </c>
      <c r="AF18" s="77">
        <f t="shared" si="27"/>
        <v>0</v>
      </c>
      <c r="AG18" s="77">
        <f t="shared" si="28"/>
        <v>0</v>
      </c>
      <c r="AJ18" s="134"/>
      <c r="AZ18" s="97">
        <v>36</v>
      </c>
      <c r="BA18" s="108">
        <v>41813.541666666664</v>
      </c>
      <c r="BB18" s="99" t="s">
        <v>28</v>
      </c>
      <c r="BC18" s="100" t="s">
        <v>6</v>
      </c>
      <c r="BD18" s="101" t="s">
        <v>30</v>
      </c>
      <c r="BE18" s="102">
        <f>IF(G18='Resultat &amp; tabell'!$G18,2,0)</f>
        <v>2</v>
      </c>
      <c r="BF18" s="65" t="s">
        <v>6</v>
      </c>
      <c r="BG18" s="102">
        <f>IF(I18='Resultat &amp; tabell'!$I18,2,0)</f>
        <v>2</v>
      </c>
      <c r="BH18" s="102">
        <f>IF(J18='Resultat &amp; tabell'!$J18,3,0)</f>
        <v>3</v>
      </c>
      <c r="BI18" s="103">
        <f t="shared" si="29"/>
        <v>7</v>
      </c>
      <c r="BL18" s="49"/>
      <c r="BM18" s="49"/>
      <c r="BN18" s="49"/>
      <c r="BO18" s="49"/>
    </row>
    <row r="19" spans="2:67" ht="14.25" customHeight="1" x14ac:dyDescent="0.25">
      <c r="C19" s="38"/>
      <c r="I19" s="133"/>
      <c r="J19" s="24"/>
      <c r="K19" s="24"/>
      <c r="M19" s="135"/>
      <c r="N19" s="23"/>
      <c r="O19" s="23"/>
      <c r="P19" s="23"/>
      <c r="Q19" s="23"/>
      <c r="S19" s="34" t="s">
        <v>82</v>
      </c>
      <c r="T19" s="49">
        <v>0</v>
      </c>
      <c r="U19" s="23">
        <f>SUM(X4:X6)</f>
        <v>0</v>
      </c>
      <c r="V19" s="50">
        <f>SUM(T19:U19)</f>
        <v>0</v>
      </c>
      <c r="W19" s="26"/>
      <c r="X19" s="26"/>
      <c r="BA19" s="41"/>
      <c r="BI19" s="119"/>
      <c r="BL19" s="49"/>
      <c r="BM19" s="49"/>
      <c r="BN19" s="49"/>
      <c r="BO19" s="49"/>
    </row>
    <row r="20" spans="2:67" s="26" customFormat="1" ht="12.75" customHeight="1" x14ac:dyDescent="0.25">
      <c r="B20" s="6" t="s">
        <v>40</v>
      </c>
      <c r="C20" s="120"/>
      <c r="D20" s="72"/>
      <c r="E20" s="27"/>
      <c r="F20" s="135"/>
      <c r="G20" s="27"/>
      <c r="H20" s="27"/>
      <c r="I20" s="135"/>
      <c r="J20" s="135"/>
      <c r="K20" s="24"/>
      <c r="L20" s="25"/>
      <c r="N20" s="27"/>
      <c r="O20" s="27"/>
      <c r="P20" s="27"/>
      <c r="Q20" s="27"/>
      <c r="S20" s="59" t="s">
        <v>110</v>
      </c>
      <c r="T20" s="136"/>
      <c r="U20" s="136"/>
      <c r="V20" s="60">
        <f>SUM(V13:V19)</f>
        <v>0</v>
      </c>
      <c r="Z20" s="74"/>
      <c r="AA20" s="96"/>
      <c r="AB20" s="96"/>
      <c r="AC20" s="96"/>
      <c r="AD20" s="74"/>
      <c r="AE20" s="123"/>
      <c r="AF20" s="124"/>
      <c r="AG20" s="124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78" t="s">
        <v>40</v>
      </c>
      <c r="BA20" s="125"/>
      <c r="BB20" s="79"/>
      <c r="BC20" s="80"/>
      <c r="BD20" s="79"/>
      <c r="BE20" s="80"/>
      <c r="BF20" s="80"/>
      <c r="BG20" s="80"/>
      <c r="BH20" s="80"/>
      <c r="BI20" s="24"/>
      <c r="BJ20" s="127"/>
      <c r="BK20" s="1"/>
      <c r="BL20" s="24"/>
      <c r="BM20" s="24"/>
      <c r="BN20" s="24"/>
      <c r="BO20" s="24"/>
    </row>
    <row r="21" spans="2:67" s="26" customFormat="1" ht="14.25" customHeight="1" x14ac:dyDescent="0.25">
      <c r="B21" s="137" t="s">
        <v>2</v>
      </c>
      <c r="C21" s="129" t="s">
        <v>3</v>
      </c>
      <c r="D21" s="187" t="s">
        <v>2</v>
      </c>
      <c r="E21" s="188"/>
      <c r="F21" s="189"/>
      <c r="G21" s="188" t="s">
        <v>4</v>
      </c>
      <c r="H21" s="188"/>
      <c r="I21" s="188"/>
      <c r="J21" s="28" t="s">
        <v>81</v>
      </c>
      <c r="K21" s="7" t="s">
        <v>89</v>
      </c>
      <c r="L21" s="25"/>
      <c r="M21" s="8" t="s">
        <v>40</v>
      </c>
      <c r="N21" s="9" t="s">
        <v>89</v>
      </c>
      <c r="O21" s="9" t="s">
        <v>90</v>
      </c>
      <c r="P21" s="9" t="s">
        <v>91</v>
      </c>
      <c r="Q21" s="10" t="s">
        <v>101</v>
      </c>
      <c r="W21" s="138"/>
      <c r="Z21" s="85" t="s">
        <v>87</v>
      </c>
      <c r="AA21" s="85" t="s">
        <v>89</v>
      </c>
      <c r="AB21" s="85" t="s">
        <v>90</v>
      </c>
      <c r="AC21" s="85" t="s">
        <v>91</v>
      </c>
      <c r="AD21" s="85" t="s">
        <v>88</v>
      </c>
      <c r="AE21" s="85" t="s">
        <v>89</v>
      </c>
      <c r="AF21" s="85" t="s">
        <v>90</v>
      </c>
      <c r="AG21" s="85" t="s">
        <v>91</v>
      </c>
      <c r="AH21" s="123"/>
      <c r="AI21" s="86" t="s">
        <v>99</v>
      </c>
      <c r="AJ21" s="86" t="s">
        <v>98</v>
      </c>
      <c r="AK21" s="86" t="s">
        <v>97</v>
      </c>
      <c r="AL21" s="85" t="s">
        <v>96</v>
      </c>
      <c r="AM21" s="85" t="s">
        <v>95</v>
      </c>
      <c r="AN21" s="85" t="s">
        <v>92</v>
      </c>
      <c r="AO21" s="85" t="s">
        <v>89</v>
      </c>
      <c r="AP21" s="85" t="s">
        <v>90</v>
      </c>
      <c r="AQ21" s="85" t="s">
        <v>91</v>
      </c>
      <c r="AR21" s="86" t="s">
        <v>93</v>
      </c>
      <c r="AS21" s="123"/>
      <c r="AT21" s="85" t="s">
        <v>94</v>
      </c>
      <c r="AU21" s="85" t="s">
        <v>92</v>
      </c>
      <c r="AV21" s="85" t="s">
        <v>89</v>
      </c>
      <c r="AW21" s="85" t="s">
        <v>90</v>
      </c>
      <c r="AX21" s="85" t="s">
        <v>91</v>
      </c>
      <c r="AY21" s="86" t="s">
        <v>93</v>
      </c>
      <c r="AZ21" s="139" t="s">
        <v>2</v>
      </c>
      <c r="BA21" s="131" t="s">
        <v>3</v>
      </c>
      <c r="BB21" s="190" t="s">
        <v>2</v>
      </c>
      <c r="BC21" s="191"/>
      <c r="BD21" s="192"/>
      <c r="BE21" s="191" t="s">
        <v>4</v>
      </c>
      <c r="BF21" s="191"/>
      <c r="BG21" s="191"/>
      <c r="BH21" s="69" t="s">
        <v>81</v>
      </c>
      <c r="BI21" s="28" t="s">
        <v>89</v>
      </c>
      <c r="BJ21" s="127"/>
      <c r="BK21" s="132"/>
      <c r="BL21" s="24"/>
      <c r="BM21" s="24"/>
      <c r="BN21" s="24"/>
      <c r="BO21" s="24"/>
    </row>
    <row r="22" spans="2:67" ht="14.25" customHeight="1" x14ac:dyDescent="0.25">
      <c r="B22" s="16">
        <v>5</v>
      </c>
      <c r="C22" s="107">
        <v>43267</v>
      </c>
      <c r="D22" s="91" t="s">
        <v>64</v>
      </c>
      <c r="E22" s="92" t="s">
        <v>6</v>
      </c>
      <c r="F22" s="93" t="s">
        <v>31</v>
      </c>
      <c r="G22" s="63"/>
      <c r="H22" s="94" t="s">
        <v>6</v>
      </c>
      <c r="I22" s="63"/>
      <c r="J22" s="65" t="str">
        <f>IF(OR(ISBLANK(G22),ISBLANK(I22)),"",IF(G22&gt;I22,1,IF(G22&lt;I22,2,"X")))</f>
        <v/>
      </c>
      <c r="K22" s="64">
        <f>IF('Resultat &amp; tabell'!J22="",0,BI22)</f>
        <v>0</v>
      </c>
      <c r="L22" s="12">
        <v>1</v>
      </c>
      <c r="M22" s="13" t="str">
        <f>VLOOKUP(L22,AT22:AY25,2,FALSE)</f>
        <v>Frankrike</v>
      </c>
      <c r="N22" s="14">
        <f>VLOOKUP(M22,$AU$22:$AY$25,2,FALSE)</f>
        <v>0</v>
      </c>
      <c r="O22" s="14">
        <f>VLOOKUP(M22,$AU$22:$AY$25,3,FALSE)</f>
        <v>0</v>
      </c>
      <c r="P22" s="14">
        <f>VLOOKUP(M22,$AU$22:$AY$25,4,FALSE)</f>
        <v>0</v>
      </c>
      <c r="Q22" s="15">
        <f>VLOOKUP(M22,$AU$22:$AY$25,5,FALSE)</f>
        <v>0</v>
      </c>
      <c r="S22" s="5"/>
      <c r="T22" s="5"/>
      <c r="U22" s="5"/>
      <c r="V22" s="5"/>
      <c r="W22" s="5"/>
      <c r="Z22" s="95" t="str">
        <f>D22</f>
        <v>Frankrike</v>
      </c>
      <c r="AA22" s="96">
        <f t="shared" ref="AA22:AA27" si="33">IF(G22="",0,IF($G22&lt;$I22,0,IF($G22=$I22,1,3)))</f>
        <v>0</v>
      </c>
      <c r="AB22" s="96">
        <f t="shared" ref="AB22:AB27" si="34">G22</f>
        <v>0</v>
      </c>
      <c r="AC22" s="96">
        <f t="shared" ref="AC22:AC27" si="35">I22</f>
        <v>0</v>
      </c>
      <c r="AD22" s="95" t="str">
        <f>F22</f>
        <v>Australien</v>
      </c>
      <c r="AE22" s="96">
        <f t="shared" ref="AE22:AE27" si="36">IF(I22="",0,IF(I22&lt;G22,0,IF(G22=I22,1,3)))</f>
        <v>0</v>
      </c>
      <c r="AF22" s="77">
        <f t="shared" ref="AF22:AF27" si="37">I22</f>
        <v>0</v>
      </c>
      <c r="AG22" s="77">
        <f t="shared" ref="AG22:AG27" si="38">G22</f>
        <v>0</v>
      </c>
      <c r="AI22" s="76">
        <f>RANK($AJ22,$AJ$22:$AJ$25,1)+COUNTIF($AJ$22:$AJ22,$AJ22)-1</f>
        <v>1</v>
      </c>
      <c r="AJ22" s="76">
        <f>AK22+AL22+AM22</f>
        <v>1</v>
      </c>
      <c r="AK22" s="76">
        <f>SUMPRODUCT(($AO$22:$AO$25=AO22)*($AR$22:$AR$25=AR22)*($AP$22:$AP$25&gt;AP22))</f>
        <v>0</v>
      </c>
      <c r="AL22" s="76">
        <f>SUMPRODUCT(($AO$22:$AO$25=AO22)*($AR$22:$AR$25&gt;AR22))</f>
        <v>0</v>
      </c>
      <c r="AM22" s="76">
        <f>RANK(AO22,$AO$22:$AO$25)</f>
        <v>1</v>
      </c>
      <c r="AN22" s="95" t="s">
        <v>64</v>
      </c>
      <c r="AO22" s="76">
        <f>SUMIF($Z$22:$Z$27,$AN22,$AA$22:$AA$27)+SUMIF($AD$22:$AD$27,$AN22,$AE$22:$AE$27)</f>
        <v>0</v>
      </c>
      <c r="AP22" s="76">
        <f>SUMIF($Z$22:$Z$27,$AN22,$AB$22:$AB$27)+SUMIF($AD$22:$AD$27,$AN22,$AF$22:$AF$27)</f>
        <v>0</v>
      </c>
      <c r="AQ22" s="76">
        <f>SUMIF($Z$22:$Z$27,$AN22,$AC$22:$AC$27)+SUMIF($AD$22:$AD$27,$AN22,$AG$22:$AG$27)</f>
        <v>0</v>
      </c>
      <c r="AR22" s="76">
        <f>AP22-AQ22</f>
        <v>0</v>
      </c>
      <c r="AT22" s="76">
        <v>1</v>
      </c>
      <c r="AU22" s="76" t="str">
        <f>VLOOKUP($AT22,$AI$22:$AR$25,6,FALSE)</f>
        <v>Frankrike</v>
      </c>
      <c r="AV22" s="76">
        <f>VLOOKUP($AU22,$AN$22:$AR$25,2,FALSE)</f>
        <v>0</v>
      </c>
      <c r="AW22" s="76">
        <f>VLOOKUP($AU22,$AN$22:$AR$25,3,FALSE)</f>
        <v>0</v>
      </c>
      <c r="AX22" s="76">
        <f>VLOOKUP($AU22,$AN$22:$AR$25,4,FALSE)</f>
        <v>0</v>
      </c>
      <c r="AY22" s="76">
        <f>VLOOKUP($AU22,$AN$22:$AR$25,5,FALSE)</f>
        <v>0</v>
      </c>
      <c r="AZ22" s="97">
        <v>5</v>
      </c>
      <c r="BA22" s="108">
        <v>41804.541666666664</v>
      </c>
      <c r="BB22" s="99" t="s">
        <v>42</v>
      </c>
      <c r="BC22" s="100" t="s">
        <v>6</v>
      </c>
      <c r="BD22" s="101" t="s">
        <v>43</v>
      </c>
      <c r="BE22" s="102">
        <f>IF(G22='Resultat &amp; tabell'!$G22,2,0)</f>
        <v>2</v>
      </c>
      <c r="BF22" s="65" t="s">
        <v>6</v>
      </c>
      <c r="BG22" s="102">
        <f>IF(I22='Resultat &amp; tabell'!$I22,2,0)</f>
        <v>2</v>
      </c>
      <c r="BH22" s="102">
        <f>IF(J22='Resultat &amp; tabell'!$J22,3,0)</f>
        <v>3</v>
      </c>
      <c r="BI22" s="103">
        <f t="shared" ref="BI22:BI27" si="39">SUM(BE22+BG22+BH22)</f>
        <v>7</v>
      </c>
      <c r="BJ22" s="104"/>
      <c r="BK22" s="78"/>
      <c r="BL22" s="49"/>
      <c r="BM22" s="49"/>
      <c r="BN22" s="49"/>
      <c r="BO22" s="49"/>
    </row>
    <row r="23" spans="2:67" ht="14.25" customHeight="1" x14ac:dyDescent="0.25">
      <c r="B23" s="16">
        <v>6</v>
      </c>
      <c r="C23" s="107">
        <v>43267</v>
      </c>
      <c r="D23" s="91" t="s">
        <v>167</v>
      </c>
      <c r="E23" s="92" t="s">
        <v>6</v>
      </c>
      <c r="F23" s="93" t="s">
        <v>168</v>
      </c>
      <c r="G23" s="63"/>
      <c r="H23" s="94" t="s">
        <v>6</v>
      </c>
      <c r="I23" s="63"/>
      <c r="J23" s="65" t="str">
        <f t="shared" ref="J23:J27" si="40">IF(OR(ISBLANK(G23),ISBLANK(I23)),"",IF(G23&gt;I23,1,IF(G23&lt;I23,2,"X")))</f>
        <v/>
      </c>
      <c r="K23" s="64">
        <f>IF('Resultat &amp; tabell'!J23="",0,BI23)</f>
        <v>0</v>
      </c>
      <c r="L23" s="2">
        <v>2</v>
      </c>
      <c r="M23" s="17" t="str">
        <f>VLOOKUP(L23,AT22:AY25,2,FALSE)</f>
        <v>Australien</v>
      </c>
      <c r="N23" s="18">
        <f>VLOOKUP(M23,$AU$22:$AY$25,2,FALSE)</f>
        <v>0</v>
      </c>
      <c r="O23" s="18">
        <f>VLOOKUP(M23,$AU$22:$AY$25,3,FALSE)</f>
        <v>0</v>
      </c>
      <c r="P23" s="18">
        <f>VLOOKUP(M23,$AU$22:$AY$25,4,FALSE)</f>
        <v>0</v>
      </c>
      <c r="Q23" s="19">
        <f>VLOOKUP(M23,$AU$22:$AY$25,5,FALSE)</f>
        <v>0</v>
      </c>
      <c r="S23" s="5"/>
      <c r="T23" s="5"/>
      <c r="U23" s="5"/>
      <c r="V23" s="5"/>
      <c r="W23" s="5"/>
      <c r="Z23" s="95" t="str">
        <f t="shared" ref="Z23:Z27" si="41">D23</f>
        <v>Peru</v>
      </c>
      <c r="AA23" s="96">
        <f t="shared" si="33"/>
        <v>0</v>
      </c>
      <c r="AB23" s="96">
        <f t="shared" si="34"/>
        <v>0</v>
      </c>
      <c r="AC23" s="96">
        <f t="shared" si="35"/>
        <v>0</v>
      </c>
      <c r="AD23" s="95" t="str">
        <f t="shared" ref="AD23:AD27" si="42">F23</f>
        <v>Danmark</v>
      </c>
      <c r="AE23" s="96">
        <f t="shared" si="36"/>
        <v>0</v>
      </c>
      <c r="AF23" s="77">
        <f t="shared" si="37"/>
        <v>0</v>
      </c>
      <c r="AG23" s="77">
        <f t="shared" si="38"/>
        <v>0</v>
      </c>
      <c r="AI23" s="76">
        <f>RANK($AJ23,$AJ$22:$AJ$25,1)+COUNTIF($AJ$22:$AJ23,$AJ23)-1</f>
        <v>2</v>
      </c>
      <c r="AJ23" s="76">
        <f>AK23+AL23+AM23</f>
        <v>1</v>
      </c>
      <c r="AK23" s="76">
        <f t="shared" ref="AK23:AK25" si="43">SUMPRODUCT(($AO$22:$AO$25=AO23)*($AR$22:$AR$25=AR23)*($AP$22:$AP$25&gt;AP23))</f>
        <v>0</v>
      </c>
      <c r="AL23" s="76">
        <f t="shared" ref="AL23:AL25" si="44">SUMPRODUCT(($AO$22:$AO$25=AO23)*($AR$22:$AR$25&gt;AR23))</f>
        <v>0</v>
      </c>
      <c r="AM23" s="76">
        <f t="shared" ref="AM23:AM25" si="45">RANK(AO23,$AO$22:$AO$25)</f>
        <v>1</v>
      </c>
      <c r="AN23" s="95" t="s">
        <v>31</v>
      </c>
      <c r="AO23" s="76">
        <f t="shared" ref="AO23:AO25" si="46">SUMIF($Z$22:$Z$27,$AN23,$AA$22:$AA$27)+SUMIF($AD$22:$AD$27,$AN23,$AE$22:$AE$27)</f>
        <v>0</v>
      </c>
      <c r="AP23" s="76">
        <f t="shared" ref="AP23:AP25" si="47">SUMIF($Z$22:$Z$27,$AN23,$AB$22:$AB$27)+SUMIF($AD$22:$AD$27,$AN23,$AF$22:$AF$27)</f>
        <v>0</v>
      </c>
      <c r="AQ23" s="76">
        <f t="shared" ref="AQ23:AQ25" si="48">SUMIF($Z$22:$Z$27,$AN23,$AC$22:$AC$27)+SUMIF($AD$22:$AD$27,$AN23,$AG$22:$AG$27)</f>
        <v>0</v>
      </c>
      <c r="AR23" s="76">
        <f t="shared" ref="AR23:AR25" si="49">AP23-AQ23</f>
        <v>0</v>
      </c>
      <c r="AT23" s="76">
        <v>2</v>
      </c>
      <c r="AU23" s="76" t="str">
        <f t="shared" ref="AU23:AU25" si="50">VLOOKUP($AT23,$AI$22:$AR$25,6,FALSE)</f>
        <v>Australien</v>
      </c>
      <c r="AV23" s="76">
        <f t="shared" ref="AV23:AV25" si="51">VLOOKUP($AU23,$AN$22:$AR$25,2,FALSE)</f>
        <v>0</v>
      </c>
      <c r="AW23" s="76">
        <f t="shared" ref="AW23:AW25" si="52">VLOOKUP($AU23,$AN$22:$AR$25,3,FALSE)</f>
        <v>0</v>
      </c>
      <c r="AX23" s="76">
        <f t="shared" ref="AX23:AX25" si="53">VLOOKUP($AU23,$AN$22:$AR$25,4,FALSE)</f>
        <v>0</v>
      </c>
      <c r="AY23" s="76">
        <f t="shared" ref="AY23:AY25" si="54">VLOOKUP($AU23,$AN$22:$AR$25,5,FALSE)</f>
        <v>0</v>
      </c>
      <c r="AZ23" s="97">
        <v>6</v>
      </c>
      <c r="BA23" s="108">
        <v>41805</v>
      </c>
      <c r="BB23" s="140" t="s">
        <v>46</v>
      </c>
      <c r="BC23" s="100" t="s">
        <v>6</v>
      </c>
      <c r="BD23" s="101" t="s">
        <v>47</v>
      </c>
      <c r="BE23" s="102">
        <f>IF(G23='Resultat &amp; tabell'!$G23,2,0)</f>
        <v>2</v>
      </c>
      <c r="BF23" s="65" t="s">
        <v>6</v>
      </c>
      <c r="BG23" s="102">
        <f>IF(I23='Resultat &amp; tabell'!$I23,2,0)</f>
        <v>2</v>
      </c>
      <c r="BH23" s="102">
        <f>IF(J23='Resultat &amp; tabell'!$J23,3,0)</f>
        <v>3</v>
      </c>
      <c r="BI23" s="103">
        <f t="shared" si="39"/>
        <v>7</v>
      </c>
      <c r="BK23" s="78"/>
      <c r="BL23" s="49"/>
      <c r="BM23" s="49"/>
      <c r="BN23" s="49"/>
      <c r="BO23" s="49"/>
    </row>
    <row r="24" spans="2:67" ht="14.25" customHeight="1" x14ac:dyDescent="0.25">
      <c r="B24" s="16">
        <v>22</v>
      </c>
      <c r="C24" s="107">
        <v>43272</v>
      </c>
      <c r="D24" s="91" t="s">
        <v>168</v>
      </c>
      <c r="E24" s="92" t="s">
        <v>6</v>
      </c>
      <c r="F24" s="93" t="s">
        <v>31</v>
      </c>
      <c r="G24" s="63"/>
      <c r="H24" s="94" t="s">
        <v>6</v>
      </c>
      <c r="I24" s="63"/>
      <c r="J24" s="65" t="str">
        <f t="shared" si="40"/>
        <v/>
      </c>
      <c r="K24" s="64">
        <f>IF('Resultat &amp; tabell'!J24="",0,BI24)</f>
        <v>0</v>
      </c>
      <c r="L24" s="2">
        <v>3</v>
      </c>
      <c r="M24" s="20" t="str">
        <f>VLOOKUP(L24,AT22:AY25,2,FALSE)</f>
        <v>Peru</v>
      </c>
      <c r="N24" s="32">
        <f>VLOOKUP(M24,$AU$22:$AY$25,2,FALSE)</f>
        <v>0</v>
      </c>
      <c r="O24" s="32">
        <f>VLOOKUP(M24,$AU$22:$AY$25,3,FALSE)</f>
        <v>0</v>
      </c>
      <c r="P24" s="32">
        <f>VLOOKUP(M24,$AU$22:$AY$25,4,FALSE)</f>
        <v>0</v>
      </c>
      <c r="Q24" s="33">
        <f>VLOOKUP(M24,$AU$22:$AY$25,5,FALSE)</f>
        <v>0</v>
      </c>
      <c r="S24" s="5"/>
      <c r="T24" s="5"/>
      <c r="U24" s="5"/>
      <c r="V24" s="5"/>
      <c r="W24" s="5"/>
      <c r="Z24" s="95" t="str">
        <f t="shared" si="41"/>
        <v>Danmark</v>
      </c>
      <c r="AA24" s="96">
        <f t="shared" si="33"/>
        <v>0</v>
      </c>
      <c r="AB24" s="96">
        <f t="shared" si="34"/>
        <v>0</v>
      </c>
      <c r="AC24" s="96">
        <f t="shared" si="35"/>
        <v>0</v>
      </c>
      <c r="AD24" s="95" t="str">
        <f t="shared" si="42"/>
        <v>Australien</v>
      </c>
      <c r="AE24" s="96">
        <f t="shared" si="36"/>
        <v>0</v>
      </c>
      <c r="AF24" s="77">
        <f t="shared" si="37"/>
        <v>0</v>
      </c>
      <c r="AG24" s="77">
        <f t="shared" si="38"/>
        <v>0</v>
      </c>
      <c r="AI24" s="76">
        <f>RANK($AJ24,$AJ$22:$AJ$25,1)+COUNTIF($AJ$22:$AJ24,$AJ24)-1</f>
        <v>3</v>
      </c>
      <c r="AJ24" s="76">
        <f>AK24+AL24+AM24</f>
        <v>1</v>
      </c>
      <c r="AK24" s="76">
        <f t="shared" si="43"/>
        <v>0</v>
      </c>
      <c r="AL24" s="76">
        <f t="shared" si="44"/>
        <v>0</v>
      </c>
      <c r="AM24" s="76">
        <f t="shared" si="45"/>
        <v>1</v>
      </c>
      <c r="AN24" s="95" t="s">
        <v>167</v>
      </c>
      <c r="AO24" s="76">
        <f t="shared" si="46"/>
        <v>0</v>
      </c>
      <c r="AP24" s="76">
        <f t="shared" si="47"/>
        <v>0</v>
      </c>
      <c r="AQ24" s="76">
        <f t="shared" si="48"/>
        <v>0</v>
      </c>
      <c r="AR24" s="76">
        <f t="shared" si="49"/>
        <v>0</v>
      </c>
      <c r="AT24" s="76">
        <v>3</v>
      </c>
      <c r="AU24" s="76" t="str">
        <f t="shared" si="50"/>
        <v>Peru</v>
      </c>
      <c r="AV24" s="76">
        <f t="shared" si="51"/>
        <v>0</v>
      </c>
      <c r="AW24" s="76">
        <f t="shared" si="52"/>
        <v>0</v>
      </c>
      <c r="AX24" s="76">
        <f t="shared" si="53"/>
        <v>0</v>
      </c>
      <c r="AY24" s="76">
        <f t="shared" si="54"/>
        <v>0</v>
      </c>
      <c r="AZ24" s="97">
        <v>21</v>
      </c>
      <c r="BA24" s="108">
        <v>41809.541666666664</v>
      </c>
      <c r="BB24" s="99" t="s">
        <v>42</v>
      </c>
      <c r="BC24" s="100" t="s">
        <v>6</v>
      </c>
      <c r="BD24" s="101" t="s">
        <v>46</v>
      </c>
      <c r="BE24" s="102">
        <f>IF(G24='Resultat &amp; tabell'!$G24,2,0)</f>
        <v>2</v>
      </c>
      <c r="BF24" s="65" t="s">
        <v>6</v>
      </c>
      <c r="BG24" s="102">
        <f>IF(I24='Resultat &amp; tabell'!$I24,2,0)</f>
        <v>2</v>
      </c>
      <c r="BH24" s="102">
        <f>IF(J24='Resultat &amp; tabell'!$J24,3,0)</f>
        <v>3</v>
      </c>
      <c r="BI24" s="103">
        <f t="shared" si="39"/>
        <v>7</v>
      </c>
      <c r="BK24" s="45"/>
      <c r="BL24" s="49"/>
      <c r="BM24" s="49"/>
      <c r="BN24" s="49"/>
      <c r="BO24" s="49"/>
    </row>
    <row r="25" spans="2:67" ht="14.25" customHeight="1" x14ac:dyDescent="0.25">
      <c r="B25" s="16">
        <v>21</v>
      </c>
      <c r="C25" s="107">
        <v>43272</v>
      </c>
      <c r="D25" s="91" t="s">
        <v>64</v>
      </c>
      <c r="E25" s="92" t="s">
        <v>6</v>
      </c>
      <c r="F25" s="93" t="s">
        <v>167</v>
      </c>
      <c r="G25" s="63"/>
      <c r="H25" s="94" t="s">
        <v>6</v>
      </c>
      <c r="I25" s="63"/>
      <c r="J25" s="65" t="str">
        <f t="shared" si="40"/>
        <v/>
      </c>
      <c r="K25" s="64">
        <f>IF('Resultat &amp; tabell'!J25="",0,BI25)</f>
        <v>0</v>
      </c>
      <c r="L25" s="2">
        <v>4</v>
      </c>
      <c r="M25" s="21" t="str">
        <f>VLOOKUP(L25,AT22:AY25,2,FALSE)</f>
        <v>Danmark</v>
      </c>
      <c r="N25" s="18">
        <f>VLOOKUP(M25,$AU$22:$AY$25,2,FALSE)</f>
        <v>0</v>
      </c>
      <c r="O25" s="18">
        <f>VLOOKUP(M25,$AU$22:$AY$25,3,FALSE)</f>
        <v>0</v>
      </c>
      <c r="P25" s="18">
        <f>VLOOKUP(M25,$AU$22:$AY$25,4,FALSE)</f>
        <v>0</v>
      </c>
      <c r="Q25" s="19">
        <f>VLOOKUP(M25,$AU$22:$AY$25,5,FALSE)</f>
        <v>0</v>
      </c>
      <c r="S25" s="5"/>
      <c r="T25" s="5"/>
      <c r="U25" s="5"/>
      <c r="V25" s="5"/>
      <c r="W25" s="5"/>
      <c r="Z25" s="95" t="str">
        <f t="shared" si="41"/>
        <v>Frankrike</v>
      </c>
      <c r="AA25" s="96">
        <f t="shared" si="33"/>
        <v>0</v>
      </c>
      <c r="AB25" s="96">
        <f t="shared" si="34"/>
        <v>0</v>
      </c>
      <c r="AC25" s="96">
        <f t="shared" si="35"/>
        <v>0</v>
      </c>
      <c r="AD25" s="95" t="str">
        <f t="shared" si="42"/>
        <v>Peru</v>
      </c>
      <c r="AE25" s="96">
        <f t="shared" si="36"/>
        <v>0</v>
      </c>
      <c r="AF25" s="77">
        <f t="shared" si="37"/>
        <v>0</v>
      </c>
      <c r="AG25" s="77">
        <f t="shared" si="38"/>
        <v>0</v>
      </c>
      <c r="AI25" s="76">
        <f>RANK($AJ25,$AJ$22:$AJ$25,1)+COUNTIF($AJ$22:$AJ25,$AJ25)-1</f>
        <v>4</v>
      </c>
      <c r="AJ25" s="76">
        <f>AK25+AL25+AM25</f>
        <v>1</v>
      </c>
      <c r="AK25" s="76">
        <f t="shared" si="43"/>
        <v>0</v>
      </c>
      <c r="AL25" s="76">
        <f t="shared" si="44"/>
        <v>0</v>
      </c>
      <c r="AM25" s="76">
        <f t="shared" si="45"/>
        <v>1</v>
      </c>
      <c r="AN25" s="95" t="s">
        <v>168</v>
      </c>
      <c r="AO25" s="76">
        <f t="shared" si="46"/>
        <v>0</v>
      </c>
      <c r="AP25" s="76">
        <f t="shared" si="47"/>
        <v>0</v>
      </c>
      <c r="AQ25" s="76">
        <f t="shared" si="48"/>
        <v>0</v>
      </c>
      <c r="AR25" s="76">
        <f t="shared" si="49"/>
        <v>0</v>
      </c>
      <c r="AT25" s="76">
        <v>4</v>
      </c>
      <c r="AU25" s="76" t="str">
        <f t="shared" si="50"/>
        <v>Danmark</v>
      </c>
      <c r="AV25" s="76">
        <f t="shared" si="51"/>
        <v>0</v>
      </c>
      <c r="AW25" s="76">
        <f t="shared" si="52"/>
        <v>0</v>
      </c>
      <c r="AX25" s="76">
        <f t="shared" si="53"/>
        <v>0</v>
      </c>
      <c r="AY25" s="76">
        <f t="shared" si="54"/>
        <v>0</v>
      </c>
      <c r="AZ25" s="97">
        <v>22</v>
      </c>
      <c r="BA25" s="108">
        <v>41809.791666666664</v>
      </c>
      <c r="BB25" s="99" t="s">
        <v>47</v>
      </c>
      <c r="BC25" s="100" t="s">
        <v>6</v>
      </c>
      <c r="BD25" s="101" t="s">
        <v>43</v>
      </c>
      <c r="BE25" s="102">
        <f>IF(G25='Resultat &amp; tabell'!$G25,2,0)</f>
        <v>2</v>
      </c>
      <c r="BF25" s="65" t="s">
        <v>6</v>
      </c>
      <c r="BG25" s="102">
        <f>IF(I25='Resultat &amp; tabell'!$I25,2,0)</f>
        <v>2</v>
      </c>
      <c r="BH25" s="102">
        <f>IF(J25='Resultat &amp; tabell'!$J25,3,0)</f>
        <v>3</v>
      </c>
      <c r="BI25" s="103">
        <f t="shared" si="39"/>
        <v>7</v>
      </c>
      <c r="BK25" s="45"/>
      <c r="BL25" s="49"/>
      <c r="BM25" s="49"/>
      <c r="BN25" s="49"/>
      <c r="BO25" s="49"/>
    </row>
    <row r="26" spans="2:67" ht="14.25" customHeight="1" x14ac:dyDescent="0.25">
      <c r="B26" s="16">
        <v>37</v>
      </c>
      <c r="C26" s="107">
        <v>43277</v>
      </c>
      <c r="D26" s="91" t="s">
        <v>168</v>
      </c>
      <c r="E26" s="92" t="s">
        <v>6</v>
      </c>
      <c r="F26" s="93" t="s">
        <v>64</v>
      </c>
      <c r="G26" s="63"/>
      <c r="H26" s="94" t="s">
        <v>6</v>
      </c>
      <c r="I26" s="63"/>
      <c r="J26" s="65" t="str">
        <f t="shared" si="40"/>
        <v/>
      </c>
      <c r="K26" s="64">
        <f>IF('Resultat &amp; tabell'!J26="",0,BI26)</f>
        <v>0</v>
      </c>
      <c r="N26" s="23"/>
      <c r="O26" s="23"/>
      <c r="P26" s="23"/>
      <c r="Q26" s="23"/>
      <c r="S26" s="5"/>
      <c r="T26" s="5"/>
      <c r="U26" s="5"/>
      <c r="V26" s="5"/>
      <c r="W26" s="5"/>
      <c r="Z26" s="95" t="str">
        <f t="shared" si="41"/>
        <v>Danmark</v>
      </c>
      <c r="AA26" s="96">
        <f t="shared" si="33"/>
        <v>0</v>
      </c>
      <c r="AB26" s="96">
        <f t="shared" si="34"/>
        <v>0</v>
      </c>
      <c r="AC26" s="96">
        <f t="shared" si="35"/>
        <v>0</v>
      </c>
      <c r="AD26" s="95" t="str">
        <f t="shared" si="42"/>
        <v>Frankrike</v>
      </c>
      <c r="AE26" s="96">
        <f t="shared" si="36"/>
        <v>0</v>
      </c>
      <c r="AF26" s="77">
        <f t="shared" si="37"/>
        <v>0</v>
      </c>
      <c r="AG26" s="77">
        <f t="shared" si="38"/>
        <v>0</v>
      </c>
      <c r="AZ26" s="97">
        <v>37</v>
      </c>
      <c r="BA26" s="108">
        <v>41814.666666666664</v>
      </c>
      <c r="BB26" s="99" t="s">
        <v>47</v>
      </c>
      <c r="BC26" s="100" t="s">
        <v>6</v>
      </c>
      <c r="BD26" s="101" t="s">
        <v>42</v>
      </c>
      <c r="BE26" s="102">
        <f>IF(G26='Resultat &amp; tabell'!$G26,2,0)</f>
        <v>2</v>
      </c>
      <c r="BF26" s="65" t="s">
        <v>6</v>
      </c>
      <c r="BG26" s="102">
        <f>IF(I26='Resultat &amp; tabell'!$I26,2,0)</f>
        <v>2</v>
      </c>
      <c r="BH26" s="102">
        <f>IF(J26='Resultat &amp; tabell'!$J26,3,0)</f>
        <v>3</v>
      </c>
      <c r="BI26" s="103">
        <f t="shared" si="39"/>
        <v>7</v>
      </c>
      <c r="BL26" s="49"/>
      <c r="BM26" s="49"/>
      <c r="BN26" s="49"/>
      <c r="BO26" s="49"/>
    </row>
    <row r="27" spans="2:67" ht="14.25" customHeight="1" x14ac:dyDescent="0.25">
      <c r="B27" s="16">
        <v>38</v>
      </c>
      <c r="C27" s="107">
        <v>43277</v>
      </c>
      <c r="D27" s="91" t="s">
        <v>31</v>
      </c>
      <c r="E27" s="92" t="s">
        <v>6</v>
      </c>
      <c r="F27" s="93" t="s">
        <v>167</v>
      </c>
      <c r="G27" s="63"/>
      <c r="H27" s="94" t="s">
        <v>6</v>
      </c>
      <c r="I27" s="63"/>
      <c r="J27" s="65" t="str">
        <f t="shared" si="40"/>
        <v/>
      </c>
      <c r="K27" s="64">
        <f>IF('Resultat &amp; tabell'!J27="",0,BI27)</f>
        <v>0</v>
      </c>
      <c r="N27" s="23"/>
      <c r="O27" s="23"/>
      <c r="P27" s="23"/>
      <c r="Q27" s="23"/>
      <c r="S27" s="5"/>
      <c r="T27" s="5"/>
      <c r="U27" s="5"/>
      <c r="V27" s="5"/>
      <c r="W27" s="5"/>
      <c r="Z27" s="95" t="str">
        <f t="shared" si="41"/>
        <v>Australien</v>
      </c>
      <c r="AA27" s="96">
        <f t="shared" si="33"/>
        <v>0</v>
      </c>
      <c r="AB27" s="96">
        <f t="shared" si="34"/>
        <v>0</v>
      </c>
      <c r="AC27" s="96">
        <f t="shared" si="35"/>
        <v>0</v>
      </c>
      <c r="AD27" s="95" t="str">
        <f t="shared" si="42"/>
        <v>Peru</v>
      </c>
      <c r="AE27" s="96">
        <f t="shared" si="36"/>
        <v>0</v>
      </c>
      <c r="AF27" s="77">
        <f t="shared" si="37"/>
        <v>0</v>
      </c>
      <c r="AG27" s="77">
        <f t="shared" si="38"/>
        <v>0</v>
      </c>
      <c r="AZ27" s="97">
        <v>38</v>
      </c>
      <c r="BA27" s="108">
        <v>41814.708333333336</v>
      </c>
      <c r="BB27" s="99" t="s">
        <v>43</v>
      </c>
      <c r="BC27" s="100" t="s">
        <v>6</v>
      </c>
      <c r="BD27" s="101" t="s">
        <v>46</v>
      </c>
      <c r="BE27" s="102">
        <f>IF(G27='Resultat &amp; tabell'!$G27,2,0)</f>
        <v>2</v>
      </c>
      <c r="BF27" s="65" t="s">
        <v>6</v>
      </c>
      <c r="BG27" s="102">
        <f>IF(I27='Resultat &amp; tabell'!$I27,2,0)</f>
        <v>2</v>
      </c>
      <c r="BH27" s="102">
        <f>IF(J27='Resultat &amp; tabell'!$J27,3,0)</f>
        <v>3</v>
      </c>
      <c r="BI27" s="103">
        <f t="shared" si="39"/>
        <v>7</v>
      </c>
      <c r="BL27" s="49"/>
      <c r="BM27" s="49"/>
      <c r="BN27" s="49"/>
      <c r="BO27" s="49"/>
    </row>
    <row r="28" spans="2:67" ht="14.25" customHeight="1" x14ac:dyDescent="0.25">
      <c r="C28" s="38"/>
      <c r="J28" s="24"/>
      <c r="K28" s="24"/>
      <c r="N28" s="23"/>
      <c r="O28" s="23"/>
      <c r="P28" s="23"/>
      <c r="Q28" s="23"/>
      <c r="S28" s="5"/>
      <c r="T28" s="5"/>
      <c r="U28" s="5"/>
      <c r="V28" s="5"/>
      <c r="W28" s="5"/>
      <c r="BA28" s="41"/>
      <c r="BI28" s="119"/>
      <c r="BL28" s="49"/>
      <c r="BM28" s="49"/>
      <c r="BN28" s="49"/>
      <c r="BO28" s="49"/>
    </row>
    <row r="29" spans="2:67" s="26" customFormat="1" ht="14.25" customHeight="1" x14ac:dyDescent="0.25">
      <c r="B29" s="6" t="s">
        <v>53</v>
      </c>
      <c r="C29" s="120"/>
      <c r="D29" s="72"/>
      <c r="E29" s="27"/>
      <c r="F29" s="72"/>
      <c r="G29" s="27"/>
      <c r="H29" s="27"/>
      <c r="I29" s="27"/>
      <c r="J29" s="24"/>
      <c r="K29" s="24"/>
      <c r="L29" s="25"/>
      <c r="N29" s="27"/>
      <c r="O29" s="27"/>
      <c r="P29" s="27"/>
      <c r="Q29" s="27"/>
      <c r="Z29" s="74"/>
      <c r="AA29" s="96"/>
      <c r="AB29" s="96"/>
      <c r="AC29" s="96"/>
      <c r="AD29" s="74"/>
      <c r="AE29" s="123"/>
      <c r="AF29" s="124"/>
      <c r="AG29" s="124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78" t="s">
        <v>53</v>
      </c>
      <c r="BA29" s="125"/>
      <c r="BB29" s="79"/>
      <c r="BC29" s="80"/>
      <c r="BD29" s="79"/>
      <c r="BE29" s="80"/>
      <c r="BF29" s="80"/>
      <c r="BG29" s="80"/>
      <c r="BH29" s="80"/>
      <c r="BI29" s="24"/>
      <c r="BJ29" s="127"/>
      <c r="BK29" s="1"/>
      <c r="BL29" s="24"/>
      <c r="BM29" s="24"/>
      <c r="BN29" s="24"/>
      <c r="BO29" s="24"/>
    </row>
    <row r="30" spans="2:67" s="26" customFormat="1" ht="14.25" customHeight="1" x14ac:dyDescent="0.25">
      <c r="B30" s="137" t="s">
        <v>2</v>
      </c>
      <c r="C30" s="129" t="s">
        <v>3</v>
      </c>
      <c r="D30" s="187" t="s">
        <v>2</v>
      </c>
      <c r="E30" s="188"/>
      <c r="F30" s="189"/>
      <c r="G30" s="188" t="s">
        <v>4</v>
      </c>
      <c r="H30" s="188"/>
      <c r="I30" s="188"/>
      <c r="J30" s="28" t="s">
        <v>81</v>
      </c>
      <c r="K30" s="7" t="s">
        <v>89</v>
      </c>
      <c r="L30" s="25"/>
      <c r="M30" s="8" t="s">
        <v>53</v>
      </c>
      <c r="N30" s="9" t="s">
        <v>89</v>
      </c>
      <c r="O30" s="9" t="s">
        <v>90</v>
      </c>
      <c r="P30" s="9" t="s">
        <v>91</v>
      </c>
      <c r="Q30" s="10" t="s">
        <v>101</v>
      </c>
      <c r="Z30" s="85" t="s">
        <v>87</v>
      </c>
      <c r="AA30" s="85" t="s">
        <v>89</v>
      </c>
      <c r="AB30" s="85" t="s">
        <v>90</v>
      </c>
      <c r="AC30" s="85" t="s">
        <v>91</v>
      </c>
      <c r="AD30" s="85" t="s">
        <v>88</v>
      </c>
      <c r="AE30" s="85" t="s">
        <v>89</v>
      </c>
      <c r="AF30" s="85" t="s">
        <v>90</v>
      </c>
      <c r="AG30" s="85" t="s">
        <v>91</v>
      </c>
      <c r="AH30" s="123"/>
      <c r="AI30" s="86" t="s">
        <v>99</v>
      </c>
      <c r="AJ30" s="86" t="s">
        <v>98</v>
      </c>
      <c r="AK30" s="86" t="s">
        <v>97</v>
      </c>
      <c r="AL30" s="85" t="s">
        <v>96</v>
      </c>
      <c r="AM30" s="85" t="s">
        <v>95</v>
      </c>
      <c r="AN30" s="85" t="s">
        <v>92</v>
      </c>
      <c r="AO30" s="85" t="s">
        <v>89</v>
      </c>
      <c r="AP30" s="85" t="s">
        <v>90</v>
      </c>
      <c r="AQ30" s="85" t="s">
        <v>91</v>
      </c>
      <c r="AR30" s="86" t="s">
        <v>93</v>
      </c>
      <c r="AS30" s="123"/>
      <c r="AT30" s="85" t="s">
        <v>94</v>
      </c>
      <c r="AU30" s="85" t="s">
        <v>92</v>
      </c>
      <c r="AV30" s="85" t="s">
        <v>89</v>
      </c>
      <c r="AW30" s="85" t="s">
        <v>90</v>
      </c>
      <c r="AX30" s="85" t="s">
        <v>91</v>
      </c>
      <c r="AY30" s="86" t="s">
        <v>93</v>
      </c>
      <c r="AZ30" s="139" t="s">
        <v>2</v>
      </c>
      <c r="BA30" s="131" t="s">
        <v>3</v>
      </c>
      <c r="BB30" s="190" t="s">
        <v>2</v>
      </c>
      <c r="BC30" s="191"/>
      <c r="BD30" s="192"/>
      <c r="BE30" s="191" t="s">
        <v>4</v>
      </c>
      <c r="BF30" s="191"/>
      <c r="BG30" s="191"/>
      <c r="BH30" s="69" t="s">
        <v>81</v>
      </c>
      <c r="BI30" s="28" t="s">
        <v>89</v>
      </c>
      <c r="BJ30" s="127"/>
      <c r="BK30" s="132"/>
      <c r="BL30" s="24"/>
      <c r="BM30" s="24"/>
      <c r="BN30" s="24"/>
      <c r="BO30" s="24"/>
    </row>
    <row r="31" spans="2:67" ht="14.25" customHeight="1" x14ac:dyDescent="0.25">
      <c r="B31" s="16">
        <v>7</v>
      </c>
      <c r="C31" s="107">
        <v>43267</v>
      </c>
      <c r="D31" s="91" t="s">
        <v>67</v>
      </c>
      <c r="E31" s="92" t="s">
        <v>6</v>
      </c>
      <c r="F31" s="93" t="s">
        <v>169</v>
      </c>
      <c r="G31" s="63"/>
      <c r="H31" s="94" t="s">
        <v>6</v>
      </c>
      <c r="I31" s="63"/>
      <c r="J31" s="65" t="str">
        <f>IF(OR(ISBLANK(G31),ISBLANK(I31)),"",IF(G31&gt;I31,1,IF(G31&lt;I31,2,"X")))</f>
        <v/>
      </c>
      <c r="K31" s="64">
        <f>IF('Resultat &amp; tabell'!J31="",0,BI31)</f>
        <v>0</v>
      </c>
      <c r="L31" s="12">
        <v>1</v>
      </c>
      <c r="M31" s="13" t="str">
        <f>VLOOKUP(L31,AT31:AY34,2,FALSE)</f>
        <v>Argentina</v>
      </c>
      <c r="N31" s="14">
        <f>VLOOKUP(M31,$AU$31:$AY$34,2,FALSE)</f>
        <v>0</v>
      </c>
      <c r="O31" s="14">
        <f>VLOOKUP(M31,$AU$31:$AY$34,3,FALSE)</f>
        <v>0</v>
      </c>
      <c r="P31" s="14">
        <f>VLOOKUP(M31,$AU$31:$AY$34,4,FALSE)</f>
        <v>0</v>
      </c>
      <c r="Q31" s="15">
        <f>VLOOKUP(M31,$AU$31:$AY$34,5,FALSE)</f>
        <v>0</v>
      </c>
      <c r="S31" s="5"/>
      <c r="T31" s="5"/>
      <c r="U31" s="5"/>
      <c r="V31" s="5"/>
      <c r="W31" s="5"/>
      <c r="Z31" s="95" t="str">
        <f>D31</f>
        <v>Argentina</v>
      </c>
      <c r="AA31" s="96">
        <f t="shared" ref="AA31:AA36" si="55">IF(G31="",0,IF($G31&lt;$I31,0,IF($G31=$I31,1,3)))</f>
        <v>0</v>
      </c>
      <c r="AB31" s="96">
        <f t="shared" ref="AB31:AB36" si="56">G31</f>
        <v>0</v>
      </c>
      <c r="AC31" s="96">
        <f t="shared" ref="AC31:AC36" si="57">I31</f>
        <v>0</v>
      </c>
      <c r="AD31" s="95" t="str">
        <f>F31</f>
        <v>Island</v>
      </c>
      <c r="AE31" s="96">
        <f t="shared" ref="AE31:AE36" si="58">IF(I31="",0,IF(I31&lt;G31,0,IF(G31=I31,1,3)))</f>
        <v>0</v>
      </c>
      <c r="AF31" s="77">
        <f t="shared" ref="AF31:AF36" si="59">I31</f>
        <v>0</v>
      </c>
      <c r="AG31" s="77">
        <f t="shared" ref="AG31:AG36" si="60">G31</f>
        <v>0</v>
      </c>
      <c r="AI31" s="76">
        <f>RANK($AJ31,$AJ$31:$AJ$34,1)+COUNTIF($AJ$31:$AJ31,$AJ31)-1</f>
        <v>1</v>
      </c>
      <c r="AJ31" s="76">
        <f>AK31+AL31+AM31</f>
        <v>1</v>
      </c>
      <c r="AK31" s="76">
        <f>SUMPRODUCT(($AO$31:$AO$34=AO31)*($AR$31:$AR$34=AR31)*($AP$31:$AP$34&gt;AP31))</f>
        <v>0</v>
      </c>
      <c r="AL31" s="76">
        <f>SUMPRODUCT(($AO$31:$AO$34=AO31)*($AR$31:$AR$34&gt;AR31))</f>
        <v>0</v>
      </c>
      <c r="AM31" s="76">
        <f>RANK(AO31,$AO$31:$AO$34)</f>
        <v>1</v>
      </c>
      <c r="AN31" s="95" t="s">
        <v>67</v>
      </c>
      <c r="AO31" s="76">
        <f>SUMIF($Z$31:$Z$36,$AN31,$AA$31:$AA$36)+SUMIF($AD$31:$AD$36,$AN31,$AE$31:$AE$36)</f>
        <v>0</v>
      </c>
      <c r="AP31" s="76">
        <f>SUMIF($Z$31:$Z$36,$AN31,$AB$31:$AB$36)+SUMIF($AD$31:$AD$36,$AN31,$AF$31:$AF$36)</f>
        <v>0</v>
      </c>
      <c r="AQ31" s="76">
        <f>SUMIF($Z$31:$Z$36,$AN31,$AC$31:$AC$36)+SUMIF($AD$31:$AD$36,$AN31,$AG$31:$AG$36)</f>
        <v>0</v>
      </c>
      <c r="AR31" s="76">
        <f>AP31-AQ31</f>
        <v>0</v>
      </c>
      <c r="AT31" s="76">
        <v>1</v>
      </c>
      <c r="AU31" s="76" t="str">
        <f>VLOOKUP($AT31,$AI$31:$AR$34,6,FALSE)</f>
        <v>Argentina</v>
      </c>
      <c r="AV31" s="76">
        <f>VLOOKUP($AU31,$AN$31:$AR$34,2,FALSE)</f>
        <v>0</v>
      </c>
      <c r="AW31" s="76">
        <f>VLOOKUP($AU31,$AN$31:$AR$34,3,FALSE)</f>
        <v>0</v>
      </c>
      <c r="AX31" s="76">
        <f>VLOOKUP($AU31,$AN$31:$AR$34,4,FALSE)</f>
        <v>0</v>
      </c>
      <c r="AY31" s="76">
        <f>VLOOKUP($AU31,$AN$31:$AR$34,5,FALSE)</f>
        <v>0</v>
      </c>
      <c r="AZ31" s="97">
        <v>7</v>
      </c>
      <c r="BA31" s="108">
        <v>41804.666666666664</v>
      </c>
      <c r="BB31" s="99" t="s">
        <v>55</v>
      </c>
      <c r="BC31" s="100" t="s">
        <v>6</v>
      </c>
      <c r="BD31" s="101" t="s">
        <v>56</v>
      </c>
      <c r="BE31" s="102">
        <f>IF(G31='Resultat &amp; tabell'!$G31,2,0)</f>
        <v>2</v>
      </c>
      <c r="BF31" s="65" t="s">
        <v>6</v>
      </c>
      <c r="BG31" s="102">
        <f>IF(I31='Resultat &amp; tabell'!$I31,2,0)</f>
        <v>2</v>
      </c>
      <c r="BH31" s="102">
        <f>IF(J31='Resultat &amp; tabell'!$J31,3,0)</f>
        <v>3</v>
      </c>
      <c r="BI31" s="103">
        <f t="shared" ref="BI31:BI36" si="61">SUM(BE31+BG31+BH31)</f>
        <v>7</v>
      </c>
      <c r="BJ31" s="104"/>
      <c r="BK31" s="78"/>
      <c r="BL31" s="49"/>
      <c r="BM31" s="49"/>
      <c r="BN31" s="49"/>
      <c r="BO31" s="49"/>
    </row>
    <row r="32" spans="2:67" ht="14.25" customHeight="1" x14ac:dyDescent="0.25">
      <c r="B32" s="16">
        <v>8</v>
      </c>
      <c r="C32" s="107">
        <v>43267</v>
      </c>
      <c r="D32" s="91" t="s">
        <v>7</v>
      </c>
      <c r="E32" s="92" t="s">
        <v>6</v>
      </c>
      <c r="F32" s="93" t="s">
        <v>70</v>
      </c>
      <c r="G32" s="63"/>
      <c r="H32" s="94" t="s">
        <v>6</v>
      </c>
      <c r="I32" s="63"/>
      <c r="J32" s="65" t="str">
        <f t="shared" ref="J32:J36" si="62">IF(OR(ISBLANK(G32),ISBLANK(I32)),"",IF(G32&gt;I32,1,IF(G32&lt;I32,2,"X")))</f>
        <v/>
      </c>
      <c r="K32" s="64">
        <f>IF('Resultat &amp; tabell'!J32="",0,BI32)</f>
        <v>0</v>
      </c>
      <c r="L32" s="2">
        <v>2</v>
      </c>
      <c r="M32" s="17" t="str">
        <f>VLOOKUP(L32,AT31:AY34,2,FALSE)</f>
        <v>Island</v>
      </c>
      <c r="N32" s="18">
        <f>VLOOKUP(M32,$AU$31:$AY$34,2,FALSE)</f>
        <v>0</v>
      </c>
      <c r="O32" s="18">
        <f>VLOOKUP(M32,$AU$31:$AY$34,3,FALSE)</f>
        <v>0</v>
      </c>
      <c r="P32" s="18">
        <f>VLOOKUP(M32,$AU$31:$AY$34,4,FALSE)</f>
        <v>0</v>
      </c>
      <c r="Q32" s="19">
        <f>VLOOKUP(M32,$AU$31:$AY$34,5,FALSE)</f>
        <v>0</v>
      </c>
      <c r="S32" s="5"/>
      <c r="T32" s="5"/>
      <c r="U32" s="5"/>
      <c r="V32" s="5"/>
      <c r="W32" s="5"/>
      <c r="Z32" s="95" t="str">
        <f t="shared" ref="Z32:Z36" si="63">D32</f>
        <v>Kroatien</v>
      </c>
      <c r="AA32" s="96">
        <f t="shared" si="55"/>
        <v>0</v>
      </c>
      <c r="AB32" s="96">
        <f t="shared" si="56"/>
        <v>0</v>
      </c>
      <c r="AC32" s="96">
        <f t="shared" si="57"/>
        <v>0</v>
      </c>
      <c r="AD32" s="95" t="str">
        <f t="shared" ref="AD32:AD36" si="64">F32</f>
        <v>Nigeria</v>
      </c>
      <c r="AE32" s="96">
        <f t="shared" si="58"/>
        <v>0</v>
      </c>
      <c r="AF32" s="77">
        <f t="shared" si="59"/>
        <v>0</v>
      </c>
      <c r="AG32" s="77">
        <f t="shared" si="60"/>
        <v>0</v>
      </c>
      <c r="AI32" s="76">
        <f>RANK($AJ32,$AJ$31:$AJ$34,1)+COUNTIF($AJ$31:$AJ32,$AJ32)-1</f>
        <v>2</v>
      </c>
      <c r="AJ32" s="76">
        <f>AK32+AL32+AM32</f>
        <v>1</v>
      </c>
      <c r="AK32" s="76">
        <f t="shared" ref="AK32:AK34" si="65">SUMPRODUCT(($AO$31:$AO$34=AO32)*($AR$31:$AR$34=AR32)*($AP$31:$AP$34&gt;AP32))</f>
        <v>0</v>
      </c>
      <c r="AL32" s="76">
        <f t="shared" ref="AL32:AL34" si="66">SUMPRODUCT(($AO$31:$AO$34=AO32)*($AR$31:$AR$34&gt;AR32))</f>
        <v>0</v>
      </c>
      <c r="AM32" s="76">
        <f t="shared" ref="AM32:AM34" si="67">RANK(AO32,$AO$31:$AO$34)</f>
        <v>1</v>
      </c>
      <c r="AN32" s="95" t="s">
        <v>169</v>
      </c>
      <c r="AO32" s="76">
        <f t="shared" ref="AO32:AO34" si="68">SUMIF($Z$31:$Z$36,$AN32,$AA$31:$AA$36)+SUMIF($AD$31:$AD$36,$AN32,$AE$31:$AE$36)</f>
        <v>0</v>
      </c>
      <c r="AP32" s="76">
        <f t="shared" ref="AP32:AP34" si="69">SUMIF($Z$31:$Z$36,$AN32,$AB$31:$AB$36)+SUMIF($AD$31:$AD$36,$AN32,$AF$31:$AF$36)</f>
        <v>0</v>
      </c>
      <c r="AQ32" s="76">
        <f t="shared" ref="AQ32:AQ34" si="70">SUMIF($Z$31:$Z$36,$AN32,$AC$31:$AC$36)+SUMIF($AD$31:$AD$36,$AN32,$AG$31:$AG$36)</f>
        <v>0</v>
      </c>
      <c r="AR32" s="76">
        <f t="shared" ref="AR32:AR34" si="71">AP32-AQ32</f>
        <v>0</v>
      </c>
      <c r="AT32" s="76">
        <v>2</v>
      </c>
      <c r="AU32" s="76" t="str">
        <f t="shared" ref="AU32:AU34" si="72">VLOOKUP($AT32,$AI$31:$AR$34,6,FALSE)</f>
        <v>Island</v>
      </c>
      <c r="AV32" s="76">
        <f t="shared" ref="AV32:AV34" si="73">VLOOKUP($AU32,$AN$31:$AR$34,2,FALSE)</f>
        <v>0</v>
      </c>
      <c r="AW32" s="76">
        <f t="shared" ref="AW32:AW34" si="74">VLOOKUP($AU32,$AN$31:$AR$34,3,FALSE)</f>
        <v>0</v>
      </c>
      <c r="AX32" s="76">
        <f t="shared" ref="AX32:AX34" si="75">VLOOKUP($AU32,$AN$31:$AR$34,4,FALSE)</f>
        <v>0</v>
      </c>
      <c r="AY32" s="76">
        <f t="shared" ref="AY32:AY34" si="76">VLOOKUP($AU32,$AN$31:$AR$34,5,FALSE)</f>
        <v>0</v>
      </c>
      <c r="AZ32" s="97">
        <v>8</v>
      </c>
      <c r="BA32" s="108">
        <v>41804.75</v>
      </c>
      <c r="BB32" s="99" t="s">
        <v>59</v>
      </c>
      <c r="BC32" s="100" t="s">
        <v>6</v>
      </c>
      <c r="BD32" s="101" t="s">
        <v>60</v>
      </c>
      <c r="BE32" s="102">
        <f>IF(G32='Resultat &amp; tabell'!$G32,2,0)</f>
        <v>2</v>
      </c>
      <c r="BF32" s="65" t="s">
        <v>6</v>
      </c>
      <c r="BG32" s="102">
        <f>IF(I32='Resultat &amp; tabell'!$I32,2,0)</f>
        <v>2</v>
      </c>
      <c r="BH32" s="102">
        <f>IF(J32='Resultat &amp; tabell'!$J32,3,0)</f>
        <v>3</v>
      </c>
      <c r="BI32" s="103">
        <f t="shared" si="61"/>
        <v>7</v>
      </c>
      <c r="BK32" s="78"/>
      <c r="BL32" s="49"/>
      <c r="BM32" s="49"/>
      <c r="BN32" s="49"/>
      <c r="BO32" s="49"/>
    </row>
    <row r="33" spans="2:67" ht="14.25" customHeight="1" x14ac:dyDescent="0.25">
      <c r="B33" s="16">
        <v>23</v>
      </c>
      <c r="C33" s="107">
        <v>43272</v>
      </c>
      <c r="D33" s="91" t="s">
        <v>67</v>
      </c>
      <c r="E33" s="92" t="s">
        <v>6</v>
      </c>
      <c r="F33" s="93" t="s">
        <v>7</v>
      </c>
      <c r="G33" s="63"/>
      <c r="H33" s="94" t="s">
        <v>6</v>
      </c>
      <c r="I33" s="63"/>
      <c r="J33" s="65" t="str">
        <f t="shared" si="62"/>
        <v/>
      </c>
      <c r="K33" s="64">
        <f>IF('Resultat &amp; tabell'!J33="",0,BI33)</f>
        <v>0</v>
      </c>
      <c r="L33" s="2">
        <v>3</v>
      </c>
      <c r="M33" s="20" t="str">
        <f>VLOOKUP(L33,AT31:AY34,2,FALSE)</f>
        <v>Kroatien</v>
      </c>
      <c r="N33" s="32">
        <f>VLOOKUP(M33,$AU$31:$AY$34,2,FALSE)</f>
        <v>0</v>
      </c>
      <c r="O33" s="32">
        <f>VLOOKUP(M33,$AU$31:$AY$34,3,FALSE)</f>
        <v>0</v>
      </c>
      <c r="P33" s="32">
        <f>VLOOKUP(M33,$AU$31:$AY$34,4,FALSE)</f>
        <v>0</v>
      </c>
      <c r="Q33" s="33">
        <f>VLOOKUP(M33,$AU$31:$AY$34,5,FALSE)</f>
        <v>0</v>
      </c>
      <c r="S33" s="5"/>
      <c r="T33" s="5"/>
      <c r="U33" s="5"/>
      <c r="V33" s="5"/>
      <c r="W33" s="5"/>
      <c r="Z33" s="95" t="str">
        <f t="shared" si="63"/>
        <v>Argentina</v>
      </c>
      <c r="AA33" s="96">
        <f t="shared" si="55"/>
        <v>0</v>
      </c>
      <c r="AB33" s="96">
        <f t="shared" si="56"/>
        <v>0</v>
      </c>
      <c r="AC33" s="96">
        <f t="shared" si="57"/>
        <v>0</v>
      </c>
      <c r="AD33" s="95" t="str">
        <f t="shared" si="64"/>
        <v>Kroatien</v>
      </c>
      <c r="AE33" s="96">
        <f t="shared" si="58"/>
        <v>0</v>
      </c>
      <c r="AF33" s="77">
        <f t="shared" si="59"/>
        <v>0</v>
      </c>
      <c r="AG33" s="77">
        <f t="shared" si="60"/>
        <v>0</v>
      </c>
      <c r="AI33" s="76">
        <f>RANK($AJ33,$AJ$31:$AJ$34,1)+COUNTIF($AJ$31:$AJ33,$AJ33)-1</f>
        <v>3</v>
      </c>
      <c r="AJ33" s="76">
        <f>AK33+AL33+AM33</f>
        <v>1</v>
      </c>
      <c r="AK33" s="76">
        <f t="shared" si="65"/>
        <v>0</v>
      </c>
      <c r="AL33" s="76">
        <f t="shared" si="66"/>
        <v>0</v>
      </c>
      <c r="AM33" s="76">
        <f t="shared" si="67"/>
        <v>1</v>
      </c>
      <c r="AN33" s="95" t="s">
        <v>7</v>
      </c>
      <c r="AO33" s="76">
        <f t="shared" si="68"/>
        <v>0</v>
      </c>
      <c r="AP33" s="76">
        <f t="shared" si="69"/>
        <v>0</v>
      </c>
      <c r="AQ33" s="76">
        <f t="shared" si="70"/>
        <v>0</v>
      </c>
      <c r="AR33" s="76">
        <f t="shared" si="71"/>
        <v>0</v>
      </c>
      <c r="AT33" s="76">
        <v>3</v>
      </c>
      <c r="AU33" s="76" t="str">
        <f t="shared" si="72"/>
        <v>Kroatien</v>
      </c>
      <c r="AV33" s="76">
        <f t="shared" si="73"/>
        <v>0</v>
      </c>
      <c r="AW33" s="76">
        <f t="shared" si="74"/>
        <v>0</v>
      </c>
      <c r="AX33" s="76">
        <f t="shared" si="75"/>
        <v>0</v>
      </c>
      <c r="AY33" s="76">
        <f t="shared" si="76"/>
        <v>0</v>
      </c>
      <c r="AZ33" s="97">
        <v>23</v>
      </c>
      <c r="BA33" s="108">
        <v>41809.666666666664</v>
      </c>
      <c r="BB33" s="99" t="s">
        <v>55</v>
      </c>
      <c r="BC33" s="100" t="s">
        <v>6</v>
      </c>
      <c r="BD33" s="101" t="s">
        <v>59</v>
      </c>
      <c r="BE33" s="102">
        <f>IF(G33='Resultat &amp; tabell'!$G33,2,0)</f>
        <v>2</v>
      </c>
      <c r="BF33" s="65" t="s">
        <v>6</v>
      </c>
      <c r="BG33" s="102">
        <f>IF(I33='Resultat &amp; tabell'!$I33,2,0)</f>
        <v>2</v>
      </c>
      <c r="BH33" s="102">
        <f>IF(J33='Resultat &amp; tabell'!$J33,3,0)</f>
        <v>3</v>
      </c>
      <c r="BI33" s="103">
        <f t="shared" si="61"/>
        <v>7</v>
      </c>
      <c r="BK33" s="45"/>
      <c r="BL33" s="49"/>
      <c r="BM33" s="49"/>
      <c r="BN33" s="49"/>
      <c r="BO33" s="49"/>
    </row>
    <row r="34" spans="2:67" ht="14.25" customHeight="1" x14ac:dyDescent="0.25">
      <c r="B34" s="16">
        <v>24</v>
      </c>
      <c r="C34" s="107">
        <v>43273</v>
      </c>
      <c r="D34" s="91" t="s">
        <v>70</v>
      </c>
      <c r="E34" s="92" t="s">
        <v>6</v>
      </c>
      <c r="F34" s="93" t="s">
        <v>169</v>
      </c>
      <c r="G34" s="63"/>
      <c r="H34" s="94" t="s">
        <v>6</v>
      </c>
      <c r="I34" s="63"/>
      <c r="J34" s="65" t="str">
        <f t="shared" si="62"/>
        <v/>
      </c>
      <c r="K34" s="64">
        <f>IF('Resultat &amp; tabell'!J34="",0,BI34)</f>
        <v>0</v>
      </c>
      <c r="L34" s="2">
        <v>4</v>
      </c>
      <c r="M34" s="21" t="str">
        <f>VLOOKUP(L34,AT31:AY34,2,FALSE)</f>
        <v>Nigeria</v>
      </c>
      <c r="N34" s="18">
        <f>VLOOKUP(M34,$AU$31:$AY$34,2,FALSE)</f>
        <v>0</v>
      </c>
      <c r="O34" s="18">
        <f>VLOOKUP(M34,$AU$31:$AY$34,3,FALSE)</f>
        <v>0</v>
      </c>
      <c r="P34" s="18">
        <f>VLOOKUP(M34,$AU$31:$AY$34,4,FALSE)</f>
        <v>0</v>
      </c>
      <c r="Q34" s="19">
        <f>VLOOKUP(M34,$AU$31:$AY$34,5,FALSE)</f>
        <v>0</v>
      </c>
      <c r="S34" s="5"/>
      <c r="T34" s="5"/>
      <c r="U34" s="5"/>
      <c r="V34" s="5"/>
      <c r="W34" s="5"/>
      <c r="Z34" s="95" t="str">
        <f t="shared" si="63"/>
        <v>Nigeria</v>
      </c>
      <c r="AA34" s="96">
        <f t="shared" si="55"/>
        <v>0</v>
      </c>
      <c r="AB34" s="96">
        <f t="shared" si="56"/>
        <v>0</v>
      </c>
      <c r="AC34" s="96">
        <f t="shared" si="57"/>
        <v>0</v>
      </c>
      <c r="AD34" s="95" t="str">
        <f t="shared" si="64"/>
        <v>Island</v>
      </c>
      <c r="AE34" s="96">
        <f t="shared" si="58"/>
        <v>0</v>
      </c>
      <c r="AF34" s="77">
        <f t="shared" si="59"/>
        <v>0</v>
      </c>
      <c r="AG34" s="77">
        <f t="shared" si="60"/>
        <v>0</v>
      </c>
      <c r="AI34" s="76">
        <f>RANK($AJ34,$AJ$31:$AJ$34,1)+COUNTIF($AJ$31:$AJ34,$AJ34)-1</f>
        <v>4</v>
      </c>
      <c r="AJ34" s="76">
        <f>AK34+AL34+AM34</f>
        <v>1</v>
      </c>
      <c r="AK34" s="76">
        <f t="shared" si="65"/>
        <v>0</v>
      </c>
      <c r="AL34" s="76">
        <f t="shared" si="66"/>
        <v>0</v>
      </c>
      <c r="AM34" s="76">
        <f t="shared" si="67"/>
        <v>1</v>
      </c>
      <c r="AN34" s="95" t="s">
        <v>70</v>
      </c>
      <c r="AO34" s="76">
        <f t="shared" si="68"/>
        <v>0</v>
      </c>
      <c r="AP34" s="76">
        <f t="shared" si="69"/>
        <v>0</v>
      </c>
      <c r="AQ34" s="76">
        <f t="shared" si="70"/>
        <v>0</v>
      </c>
      <c r="AR34" s="76">
        <f t="shared" si="71"/>
        <v>0</v>
      </c>
      <c r="AT34" s="76">
        <v>4</v>
      </c>
      <c r="AU34" s="76" t="str">
        <f t="shared" si="72"/>
        <v>Nigeria</v>
      </c>
      <c r="AV34" s="76">
        <f t="shared" si="73"/>
        <v>0</v>
      </c>
      <c r="AW34" s="76">
        <f t="shared" si="74"/>
        <v>0</v>
      </c>
      <c r="AX34" s="76">
        <f t="shared" si="75"/>
        <v>0</v>
      </c>
      <c r="AY34" s="76">
        <f t="shared" si="76"/>
        <v>0</v>
      </c>
      <c r="AZ34" s="97">
        <v>24</v>
      </c>
      <c r="BA34" s="108">
        <v>41810.541666666664</v>
      </c>
      <c r="BB34" s="99" t="s">
        <v>60</v>
      </c>
      <c r="BC34" s="100" t="s">
        <v>6</v>
      </c>
      <c r="BD34" s="101" t="s">
        <v>56</v>
      </c>
      <c r="BE34" s="102">
        <f>IF(G34='Resultat &amp; tabell'!$G34,2,0)</f>
        <v>2</v>
      </c>
      <c r="BF34" s="65" t="s">
        <v>6</v>
      </c>
      <c r="BG34" s="102">
        <f>IF(I34='Resultat &amp; tabell'!$I34,2,0)</f>
        <v>2</v>
      </c>
      <c r="BH34" s="102">
        <f>IF(J34='Resultat &amp; tabell'!$J34,3,0)</f>
        <v>3</v>
      </c>
      <c r="BI34" s="103">
        <f t="shared" si="61"/>
        <v>7</v>
      </c>
      <c r="BK34" s="45"/>
      <c r="BL34" s="49"/>
      <c r="BM34" s="49"/>
      <c r="BN34" s="49"/>
      <c r="BO34" s="49"/>
    </row>
    <row r="35" spans="2:67" ht="14.25" customHeight="1" x14ac:dyDescent="0.25">
      <c r="B35" s="16">
        <v>39</v>
      </c>
      <c r="C35" s="107">
        <v>43277</v>
      </c>
      <c r="D35" s="91" t="s">
        <v>70</v>
      </c>
      <c r="E35" s="92" t="s">
        <v>6</v>
      </c>
      <c r="F35" s="93" t="s">
        <v>67</v>
      </c>
      <c r="G35" s="63"/>
      <c r="H35" s="94" t="s">
        <v>6</v>
      </c>
      <c r="I35" s="63"/>
      <c r="J35" s="65" t="str">
        <f t="shared" si="62"/>
        <v/>
      </c>
      <c r="K35" s="64">
        <f>IF('Resultat &amp; tabell'!J35="",0,BI35)</f>
        <v>0</v>
      </c>
      <c r="N35" s="23"/>
      <c r="O35" s="35"/>
      <c r="P35" s="23"/>
      <c r="Q35" s="23"/>
      <c r="S35" s="5"/>
      <c r="T35" s="5"/>
      <c r="U35" s="5"/>
      <c r="V35" s="5"/>
      <c r="W35" s="5"/>
      <c r="Z35" s="95" t="str">
        <f t="shared" si="63"/>
        <v>Nigeria</v>
      </c>
      <c r="AA35" s="96">
        <f t="shared" si="55"/>
        <v>0</v>
      </c>
      <c r="AB35" s="96">
        <f t="shared" si="56"/>
        <v>0</v>
      </c>
      <c r="AC35" s="96">
        <f t="shared" si="57"/>
        <v>0</v>
      </c>
      <c r="AD35" s="95" t="str">
        <f t="shared" si="64"/>
        <v>Argentina</v>
      </c>
      <c r="AE35" s="96">
        <f t="shared" si="58"/>
        <v>0</v>
      </c>
      <c r="AF35" s="77">
        <f t="shared" si="59"/>
        <v>0</v>
      </c>
      <c r="AG35" s="77">
        <f t="shared" si="60"/>
        <v>0</v>
      </c>
      <c r="AZ35" s="97">
        <v>39</v>
      </c>
      <c r="BA35" s="108">
        <v>41814.541666666664</v>
      </c>
      <c r="BB35" s="99" t="s">
        <v>60</v>
      </c>
      <c r="BC35" s="100" t="s">
        <v>6</v>
      </c>
      <c r="BD35" s="101" t="s">
        <v>55</v>
      </c>
      <c r="BE35" s="102">
        <f>IF(G35='Resultat &amp; tabell'!$G35,2,0)</f>
        <v>2</v>
      </c>
      <c r="BF35" s="65" t="s">
        <v>6</v>
      </c>
      <c r="BG35" s="102">
        <f>IF(I35='Resultat &amp; tabell'!$I35,2,0)</f>
        <v>2</v>
      </c>
      <c r="BH35" s="102">
        <f>IF(J35='Resultat &amp; tabell'!$J35,3,0)</f>
        <v>3</v>
      </c>
      <c r="BI35" s="103">
        <f t="shared" si="61"/>
        <v>7</v>
      </c>
      <c r="BL35" s="49"/>
      <c r="BM35" s="46"/>
      <c r="BN35" s="49"/>
      <c r="BO35" s="49"/>
    </row>
    <row r="36" spans="2:67" ht="14.25" customHeight="1" x14ac:dyDescent="0.25">
      <c r="B36" s="16">
        <v>40</v>
      </c>
      <c r="C36" s="107">
        <v>43277</v>
      </c>
      <c r="D36" s="91" t="s">
        <v>169</v>
      </c>
      <c r="E36" s="92" t="s">
        <v>6</v>
      </c>
      <c r="F36" s="93" t="s">
        <v>7</v>
      </c>
      <c r="G36" s="63"/>
      <c r="H36" s="94" t="s">
        <v>6</v>
      </c>
      <c r="I36" s="63"/>
      <c r="J36" s="65" t="str">
        <f t="shared" si="62"/>
        <v/>
      </c>
      <c r="K36" s="64">
        <f>IF('Resultat &amp; tabell'!J36="",0,BI36)</f>
        <v>0</v>
      </c>
      <c r="N36" s="135"/>
      <c r="O36" s="135"/>
      <c r="P36" s="23"/>
      <c r="Q36" s="23"/>
      <c r="S36" s="5"/>
      <c r="T36" s="5"/>
      <c r="U36" s="5"/>
      <c r="V36" s="5"/>
      <c r="W36" s="5"/>
      <c r="Z36" s="95" t="str">
        <f t="shared" si="63"/>
        <v>Island</v>
      </c>
      <c r="AA36" s="96">
        <f t="shared" si="55"/>
        <v>0</v>
      </c>
      <c r="AB36" s="96">
        <f t="shared" si="56"/>
        <v>0</v>
      </c>
      <c r="AC36" s="96">
        <f t="shared" si="57"/>
        <v>0</v>
      </c>
      <c r="AD36" s="95" t="str">
        <f t="shared" si="64"/>
        <v>Kroatien</v>
      </c>
      <c r="AE36" s="96">
        <f t="shared" si="58"/>
        <v>0</v>
      </c>
      <c r="AF36" s="77">
        <f t="shared" si="59"/>
        <v>0</v>
      </c>
      <c r="AG36" s="77">
        <f t="shared" si="60"/>
        <v>0</v>
      </c>
      <c r="AZ36" s="97">
        <v>40</v>
      </c>
      <c r="BA36" s="108">
        <v>41814.541666666664</v>
      </c>
      <c r="BB36" s="99" t="s">
        <v>56</v>
      </c>
      <c r="BC36" s="100" t="s">
        <v>6</v>
      </c>
      <c r="BD36" s="101" t="s">
        <v>59</v>
      </c>
      <c r="BE36" s="102">
        <f>IF(G36='Resultat &amp; tabell'!$G36,2,0)</f>
        <v>2</v>
      </c>
      <c r="BF36" s="65" t="s">
        <v>6</v>
      </c>
      <c r="BG36" s="102">
        <f>IF(I36='Resultat &amp; tabell'!$I36,2,0)</f>
        <v>2</v>
      </c>
      <c r="BH36" s="102">
        <f>IF(J36='Resultat &amp; tabell'!$J36,3,0)</f>
        <v>3</v>
      </c>
      <c r="BI36" s="103">
        <f t="shared" si="61"/>
        <v>7</v>
      </c>
      <c r="BL36" s="49"/>
      <c r="BM36" s="46"/>
      <c r="BN36" s="49"/>
      <c r="BO36" s="49"/>
    </row>
    <row r="37" spans="2:67" ht="14.25" customHeight="1" x14ac:dyDescent="0.25">
      <c r="C37" s="38"/>
      <c r="J37" s="24"/>
      <c r="K37" s="24"/>
      <c r="N37" s="23"/>
      <c r="O37" s="35"/>
      <c r="P37" s="23"/>
      <c r="Q37" s="23"/>
      <c r="S37" s="5"/>
      <c r="T37" s="5"/>
      <c r="U37" s="5"/>
      <c r="V37" s="5"/>
      <c r="W37" s="5"/>
      <c r="BA37" s="41"/>
      <c r="BI37" s="119"/>
      <c r="BL37" s="49"/>
      <c r="BM37" s="46"/>
      <c r="BN37" s="49"/>
      <c r="BO37" s="49"/>
    </row>
    <row r="38" spans="2:67" s="26" customFormat="1" ht="14.25" customHeight="1" x14ac:dyDescent="0.25">
      <c r="B38" s="6" t="s">
        <v>61</v>
      </c>
      <c r="C38" s="120"/>
      <c r="D38" s="72"/>
      <c r="E38" s="27"/>
      <c r="F38" s="72"/>
      <c r="G38" s="27"/>
      <c r="H38" s="27"/>
      <c r="I38" s="27"/>
      <c r="J38" s="24"/>
      <c r="K38" s="24"/>
      <c r="L38" s="25"/>
      <c r="N38" s="27"/>
      <c r="O38" s="36"/>
      <c r="P38" s="27"/>
      <c r="Q38" s="27"/>
      <c r="S38" s="27"/>
      <c r="T38" s="27"/>
      <c r="U38" s="27"/>
      <c r="V38" s="27"/>
      <c r="W38" s="141"/>
      <c r="Z38" s="74"/>
      <c r="AA38" s="96"/>
      <c r="AB38" s="96"/>
      <c r="AC38" s="96"/>
      <c r="AD38" s="74"/>
      <c r="AE38" s="123"/>
      <c r="AF38" s="124"/>
      <c r="AG38" s="124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78" t="s">
        <v>61</v>
      </c>
      <c r="BA38" s="125"/>
      <c r="BB38" s="79"/>
      <c r="BC38" s="80"/>
      <c r="BD38" s="79"/>
      <c r="BE38" s="80"/>
      <c r="BF38" s="80"/>
      <c r="BG38" s="80"/>
      <c r="BH38" s="80"/>
      <c r="BI38" s="24"/>
      <c r="BJ38" s="127"/>
      <c r="BK38" s="1"/>
      <c r="BL38" s="24"/>
      <c r="BM38" s="142"/>
      <c r="BN38" s="24"/>
      <c r="BO38" s="24"/>
    </row>
    <row r="39" spans="2:67" s="26" customFormat="1" ht="14.25" customHeight="1" x14ac:dyDescent="0.25">
      <c r="B39" s="137" t="s">
        <v>2</v>
      </c>
      <c r="C39" s="129" t="s">
        <v>3</v>
      </c>
      <c r="D39" s="187" t="s">
        <v>2</v>
      </c>
      <c r="E39" s="188"/>
      <c r="F39" s="189"/>
      <c r="G39" s="188" t="s">
        <v>4</v>
      </c>
      <c r="H39" s="188"/>
      <c r="I39" s="188"/>
      <c r="J39" s="28" t="s">
        <v>81</v>
      </c>
      <c r="K39" s="7" t="s">
        <v>89</v>
      </c>
      <c r="L39" s="25"/>
      <c r="M39" s="8" t="s">
        <v>61</v>
      </c>
      <c r="N39" s="9" t="s">
        <v>89</v>
      </c>
      <c r="O39" s="9" t="s">
        <v>90</v>
      </c>
      <c r="P39" s="9" t="s">
        <v>91</v>
      </c>
      <c r="Q39" s="10" t="s">
        <v>101</v>
      </c>
      <c r="S39" s="27"/>
      <c r="T39" s="27"/>
      <c r="U39" s="27"/>
      <c r="V39" s="27"/>
      <c r="W39" s="141"/>
      <c r="Z39" s="85" t="s">
        <v>87</v>
      </c>
      <c r="AA39" s="85" t="s">
        <v>89</v>
      </c>
      <c r="AB39" s="85" t="s">
        <v>90</v>
      </c>
      <c r="AC39" s="85" t="s">
        <v>91</v>
      </c>
      <c r="AD39" s="85" t="s">
        <v>88</v>
      </c>
      <c r="AE39" s="85" t="s">
        <v>89</v>
      </c>
      <c r="AF39" s="85" t="s">
        <v>90</v>
      </c>
      <c r="AG39" s="85" t="s">
        <v>91</v>
      </c>
      <c r="AH39" s="123"/>
      <c r="AI39" s="86" t="s">
        <v>99</v>
      </c>
      <c r="AJ39" s="86" t="s">
        <v>98</v>
      </c>
      <c r="AK39" s="86" t="s">
        <v>97</v>
      </c>
      <c r="AL39" s="85" t="s">
        <v>96</v>
      </c>
      <c r="AM39" s="85" t="s">
        <v>95</v>
      </c>
      <c r="AN39" s="85" t="s">
        <v>92</v>
      </c>
      <c r="AO39" s="85" t="s">
        <v>89</v>
      </c>
      <c r="AP39" s="85" t="s">
        <v>90</v>
      </c>
      <c r="AQ39" s="85" t="s">
        <v>91</v>
      </c>
      <c r="AR39" s="86" t="s">
        <v>93</v>
      </c>
      <c r="AS39" s="123"/>
      <c r="AT39" s="85" t="s">
        <v>94</v>
      </c>
      <c r="AU39" s="85" t="s">
        <v>92</v>
      </c>
      <c r="AV39" s="85" t="s">
        <v>89</v>
      </c>
      <c r="AW39" s="85" t="s">
        <v>90</v>
      </c>
      <c r="AX39" s="85" t="s">
        <v>91</v>
      </c>
      <c r="AY39" s="86" t="s">
        <v>93</v>
      </c>
      <c r="AZ39" s="139" t="s">
        <v>2</v>
      </c>
      <c r="BA39" s="131" t="s">
        <v>3</v>
      </c>
      <c r="BB39" s="143" t="s">
        <v>2</v>
      </c>
      <c r="BC39" s="69"/>
      <c r="BD39" s="144"/>
      <c r="BE39" s="191" t="s">
        <v>4</v>
      </c>
      <c r="BF39" s="191"/>
      <c r="BG39" s="191"/>
      <c r="BH39" s="69" t="s">
        <v>81</v>
      </c>
      <c r="BI39" s="28" t="s">
        <v>89</v>
      </c>
      <c r="BJ39" s="127"/>
      <c r="BK39" s="132"/>
      <c r="BL39" s="24"/>
      <c r="BM39" s="24"/>
      <c r="BN39" s="24"/>
      <c r="BO39" s="24"/>
    </row>
    <row r="40" spans="2:67" ht="14.25" customHeight="1" x14ac:dyDescent="0.25">
      <c r="B40" s="16">
        <v>10</v>
      </c>
      <c r="C40" s="107">
        <v>43268</v>
      </c>
      <c r="D40" s="91" t="s">
        <v>56</v>
      </c>
      <c r="E40" s="92" t="s">
        <v>6</v>
      </c>
      <c r="F40" s="93" t="s">
        <v>170</v>
      </c>
      <c r="G40" s="63"/>
      <c r="H40" s="94" t="s">
        <v>6</v>
      </c>
      <c r="I40" s="63"/>
      <c r="J40" s="65" t="str">
        <f>IF(OR(ISBLANK(G40),ISBLANK(I40)),"",IF(G40&gt;I40,1,IF(G40&lt;I40,2,"X")))</f>
        <v/>
      </c>
      <c r="K40" s="64">
        <f>IF('Resultat &amp; tabell'!J40="",0,BI40)</f>
        <v>0</v>
      </c>
      <c r="L40" s="12">
        <v>1</v>
      </c>
      <c r="M40" s="13" t="str">
        <f>VLOOKUP(L40,AT40:AY43,2,FALSE)</f>
        <v>Brasilien</v>
      </c>
      <c r="N40" s="14">
        <f>VLOOKUP(M40,$AU$40:$AY$43,2,FALSE)</f>
        <v>0</v>
      </c>
      <c r="O40" s="14">
        <f>VLOOKUP(M40,$AU$40:$AY$43,3,FALSE)</f>
        <v>0</v>
      </c>
      <c r="P40" s="14">
        <f>VLOOKUP(M40,$AU$40:$AY$43,4,FALSE)</f>
        <v>0</v>
      </c>
      <c r="Q40" s="15">
        <f>VLOOKUP(M40,$AU$40:$AY$43,5,FALSE)</f>
        <v>0</v>
      </c>
      <c r="Z40" s="95" t="str">
        <f>D40</f>
        <v>Costa Rica</v>
      </c>
      <c r="AA40" s="96">
        <f t="shared" ref="AA40:AA45" si="77">IF(G40="",0,IF($G40&lt;$I40,0,IF($G40=$I40,1,3)))</f>
        <v>0</v>
      </c>
      <c r="AB40" s="96">
        <f t="shared" ref="AB40:AB45" si="78">G40</f>
        <v>0</v>
      </c>
      <c r="AC40" s="96">
        <f t="shared" ref="AC40:AC45" si="79">I40</f>
        <v>0</v>
      </c>
      <c r="AD40" s="95" t="str">
        <f>F40</f>
        <v>Serbien</v>
      </c>
      <c r="AE40" s="96">
        <f t="shared" ref="AE40:AE45" si="80">IF(I40="",0,IF(I40&lt;G40,0,IF(G40=I40,1,3)))</f>
        <v>0</v>
      </c>
      <c r="AF40" s="77">
        <f t="shared" ref="AF40:AF45" si="81">I40</f>
        <v>0</v>
      </c>
      <c r="AG40" s="77">
        <f t="shared" ref="AG40:AG45" si="82">G40</f>
        <v>0</v>
      </c>
      <c r="AI40" s="76">
        <f>RANK($AJ40,$AJ$40:$AJ$43,1)+COUNTIF($AJ$40:$AJ40,$AJ40)-1</f>
        <v>1</v>
      </c>
      <c r="AJ40" s="76">
        <f>AK40+AL40+AM40</f>
        <v>1</v>
      </c>
      <c r="AK40" s="76">
        <f>SUMPRODUCT(($AO$40:$AO$43=AO40)*($AR$40:$AR$43=AR40)*($AP$40:$AP$43&gt;AP40))</f>
        <v>0</v>
      </c>
      <c r="AL40" s="76">
        <f>SUMPRODUCT(($AO$40:$AO$43=AO40)*($AR$40:$AR$43&gt;AR40))</f>
        <v>0</v>
      </c>
      <c r="AM40" s="76">
        <f>RANK(AO40,$AO$40:$AO$43)</f>
        <v>1</v>
      </c>
      <c r="AN40" s="95" t="s">
        <v>5</v>
      </c>
      <c r="AO40" s="76">
        <f>SUMIF($Z$40:$Z$45,$AN40,$AA$40:$AA$45)+SUMIF($AD$40:$AD$45,$AN40,$AE$40:$AE$45)</f>
        <v>0</v>
      </c>
      <c r="AP40" s="76">
        <f>SUMIF($Z$40:$Z$45,$AN40,$AB$40:$AB$45)+SUMIF($AD$40:$AD$45,$AN40,$AF$40:$AF$45)</f>
        <v>0</v>
      </c>
      <c r="AQ40" s="76">
        <f>SUMIF($Z$40:$Z$45,$AN40,$AC$40:$AC$45)+SUMIF($AD$40:$AD$45,$AN40,$AG$40:$AG$45)</f>
        <v>0</v>
      </c>
      <c r="AR40" s="76">
        <f>AP40-AQ40</f>
        <v>0</v>
      </c>
      <c r="AT40" s="76">
        <v>1</v>
      </c>
      <c r="AU40" s="76" t="str">
        <f>VLOOKUP($AT40,$AI$40:$AR$43,6,FALSE)</f>
        <v>Brasilien</v>
      </c>
      <c r="AV40" s="76">
        <f>VLOOKUP($AU40,$AN$40:$AR$43,2,FALSE)</f>
        <v>0</v>
      </c>
      <c r="AW40" s="76">
        <f>VLOOKUP($AU40,$AN$40:$AR$43,3,FALSE)</f>
        <v>0</v>
      </c>
      <c r="AX40" s="76">
        <f>VLOOKUP($AU40,$AN$40:$AR$43,4,FALSE)</f>
        <v>0</v>
      </c>
      <c r="AY40" s="76">
        <f>VLOOKUP($AU40,$AN$40:$AR$43,5,FALSE)</f>
        <v>0</v>
      </c>
      <c r="AZ40" s="97">
        <v>9</v>
      </c>
      <c r="BA40" s="108">
        <v>41805.541666666664</v>
      </c>
      <c r="BB40" s="99" t="s">
        <v>62</v>
      </c>
      <c r="BC40" s="100" t="s">
        <v>6</v>
      </c>
      <c r="BD40" s="101" t="s">
        <v>63</v>
      </c>
      <c r="BE40" s="102">
        <f>IF(G40='Resultat &amp; tabell'!$G40,2,0)</f>
        <v>2</v>
      </c>
      <c r="BF40" s="65" t="s">
        <v>6</v>
      </c>
      <c r="BG40" s="102">
        <f>IF(I40='Resultat &amp; tabell'!$I40,2,0)</f>
        <v>2</v>
      </c>
      <c r="BH40" s="102">
        <f>IF(J40='Resultat &amp; tabell'!$J40,3,0)</f>
        <v>3</v>
      </c>
      <c r="BI40" s="103">
        <f t="shared" ref="BI40:BI45" si="83">SUM(BE40+BG40+BH40)</f>
        <v>7</v>
      </c>
      <c r="BJ40" s="104"/>
      <c r="BK40" s="78"/>
      <c r="BL40" s="49"/>
      <c r="BM40" s="49"/>
      <c r="BN40" s="49"/>
      <c r="BO40" s="49"/>
    </row>
    <row r="41" spans="2:67" ht="14.25" customHeight="1" x14ac:dyDescent="0.25">
      <c r="B41" s="16">
        <v>9</v>
      </c>
      <c r="C41" s="107">
        <v>43268</v>
      </c>
      <c r="D41" s="91" t="s">
        <v>5</v>
      </c>
      <c r="E41" s="92" t="s">
        <v>6</v>
      </c>
      <c r="F41" s="93" t="s">
        <v>62</v>
      </c>
      <c r="G41" s="63"/>
      <c r="H41" s="94" t="s">
        <v>6</v>
      </c>
      <c r="I41" s="63"/>
      <c r="J41" s="65" t="str">
        <f t="shared" ref="J41:J45" si="84">IF(OR(ISBLANK(G41),ISBLANK(I41)),"",IF(G41&gt;I41,1,IF(G41&lt;I41,2,"X")))</f>
        <v/>
      </c>
      <c r="K41" s="64">
        <f>IF('Resultat &amp; tabell'!J41="",0,BI41)</f>
        <v>0</v>
      </c>
      <c r="L41" s="2">
        <v>2</v>
      </c>
      <c r="M41" s="17" t="str">
        <f>VLOOKUP(L41,AT40:AY43,2,FALSE)</f>
        <v>Schweiz</v>
      </c>
      <c r="N41" s="18">
        <f>VLOOKUP(M41,$AU$40:$AY$43,2,FALSE)</f>
        <v>0</v>
      </c>
      <c r="O41" s="18">
        <f>VLOOKUP(M41,$AU$40:$AY$43,3,FALSE)</f>
        <v>0</v>
      </c>
      <c r="P41" s="18">
        <f>VLOOKUP(M41,$AU$40:$AY$43,4,FALSE)</f>
        <v>0</v>
      </c>
      <c r="Q41" s="19">
        <f>VLOOKUP(M41,$AU$40:$AY$43,5,FALSE)</f>
        <v>0</v>
      </c>
      <c r="Z41" s="95" t="str">
        <f t="shared" ref="Z41:Z45" si="85">D41</f>
        <v>Brasilien</v>
      </c>
      <c r="AA41" s="96">
        <f t="shared" si="77"/>
        <v>0</v>
      </c>
      <c r="AB41" s="96">
        <f t="shared" si="78"/>
        <v>0</v>
      </c>
      <c r="AC41" s="96">
        <f t="shared" si="79"/>
        <v>0</v>
      </c>
      <c r="AD41" s="95" t="str">
        <f t="shared" ref="AD41:AD45" si="86">F41</f>
        <v>Schweiz</v>
      </c>
      <c r="AE41" s="96">
        <f t="shared" si="80"/>
        <v>0</v>
      </c>
      <c r="AF41" s="77">
        <f t="shared" si="81"/>
        <v>0</v>
      </c>
      <c r="AG41" s="77">
        <f t="shared" si="82"/>
        <v>0</v>
      </c>
      <c r="AI41" s="76">
        <f>RANK($AJ41,$AJ$40:$AJ$43,1)+COUNTIF($AJ$40:$AJ41,$AJ41)-1</f>
        <v>2</v>
      </c>
      <c r="AJ41" s="76">
        <f>AK41+AL41+AM41</f>
        <v>1</v>
      </c>
      <c r="AK41" s="76">
        <f t="shared" ref="AK41:AK43" si="87">SUMPRODUCT(($AO$40:$AO$43=AO41)*($AR$40:$AR$43=AR41)*($AP$40:$AP$43&gt;AP41))</f>
        <v>0</v>
      </c>
      <c r="AL41" s="76">
        <f t="shared" ref="AL41:AL43" si="88">SUMPRODUCT(($AO$40:$AO$43=AO41)*($AR$40:$AR$43&gt;AR41))</f>
        <v>0</v>
      </c>
      <c r="AM41" s="76">
        <f t="shared" ref="AM41:AM43" si="89">RANK(AO41,$AO$40:$AO$43)</f>
        <v>1</v>
      </c>
      <c r="AN41" s="95" t="s">
        <v>62</v>
      </c>
      <c r="AO41" s="76">
        <f t="shared" ref="AO41:AO43" si="90">SUMIF($Z$40:$Z$45,$AN41,$AA$40:$AA$45)+SUMIF($AD$40:$AD$45,$AN41,$AE$40:$AE$45)</f>
        <v>0</v>
      </c>
      <c r="AP41" s="76">
        <f t="shared" ref="AP41:AP43" si="91">SUMIF($Z$40:$Z$45,$AN41,$AB$40:$AB$45)+SUMIF($AD$40:$AD$45,$AN41,$AF$40:$AF$45)</f>
        <v>0</v>
      </c>
      <c r="AQ41" s="76">
        <f t="shared" ref="AQ41:AQ43" si="92">SUMIF($Z$40:$Z$45,$AN41,$AC$40:$AC$45)+SUMIF($AD$40:$AD$45,$AN41,$AG$40:$AG$45)</f>
        <v>0</v>
      </c>
      <c r="AR41" s="76">
        <f t="shared" ref="AR41:AR43" si="93">AP41-AQ41</f>
        <v>0</v>
      </c>
      <c r="AT41" s="76">
        <v>2</v>
      </c>
      <c r="AU41" s="76" t="str">
        <f t="shared" ref="AU41:AU43" si="94">VLOOKUP($AT41,$AI$40:$AR$43,6,FALSE)</f>
        <v>Schweiz</v>
      </c>
      <c r="AV41" s="76">
        <f t="shared" ref="AV41:AV43" si="95">VLOOKUP($AU41,$AN$40:$AR$43,2,FALSE)</f>
        <v>0</v>
      </c>
      <c r="AW41" s="76">
        <f t="shared" ref="AW41:AW43" si="96">VLOOKUP($AU41,$AN$40:$AR$43,3,FALSE)</f>
        <v>0</v>
      </c>
      <c r="AX41" s="76">
        <f t="shared" ref="AX41:AX43" si="97">VLOOKUP($AU41,$AN$40:$AR$43,4,FALSE)</f>
        <v>0</v>
      </c>
      <c r="AY41" s="76">
        <f t="shared" ref="AY41:AY43" si="98">VLOOKUP($AU41,$AN$40:$AR$43,5,FALSE)</f>
        <v>0</v>
      </c>
      <c r="AZ41" s="97">
        <v>10</v>
      </c>
      <c r="BA41" s="108">
        <v>41805.666666666664</v>
      </c>
      <c r="BB41" s="99" t="s">
        <v>64</v>
      </c>
      <c r="BC41" s="100" t="s">
        <v>6</v>
      </c>
      <c r="BD41" s="101" t="s">
        <v>65</v>
      </c>
      <c r="BE41" s="102">
        <f>IF(G41='Resultat &amp; tabell'!$G41,2,0)</f>
        <v>2</v>
      </c>
      <c r="BF41" s="65" t="s">
        <v>6</v>
      </c>
      <c r="BG41" s="102">
        <f>IF(I41='Resultat &amp; tabell'!$I41,2,0)</f>
        <v>2</v>
      </c>
      <c r="BH41" s="102">
        <f>IF(J41='Resultat &amp; tabell'!$J41,3,0)</f>
        <v>3</v>
      </c>
      <c r="BI41" s="103">
        <f t="shared" si="83"/>
        <v>7</v>
      </c>
      <c r="BK41" s="78"/>
      <c r="BL41" s="49"/>
      <c r="BM41" s="49"/>
      <c r="BN41" s="49"/>
      <c r="BO41" s="49"/>
    </row>
    <row r="42" spans="2:67" ht="14.25" customHeight="1" x14ac:dyDescent="0.25">
      <c r="B42" s="16">
        <v>25</v>
      </c>
      <c r="C42" s="107">
        <v>43273</v>
      </c>
      <c r="D42" s="91" t="s">
        <v>5</v>
      </c>
      <c r="E42" s="92" t="s">
        <v>6</v>
      </c>
      <c r="F42" s="93" t="s">
        <v>56</v>
      </c>
      <c r="G42" s="63"/>
      <c r="H42" s="94" t="s">
        <v>6</v>
      </c>
      <c r="I42" s="63"/>
      <c r="J42" s="65" t="str">
        <f t="shared" si="84"/>
        <v/>
      </c>
      <c r="K42" s="64">
        <f>IF('Resultat &amp; tabell'!J42="",0,BI42)</f>
        <v>0</v>
      </c>
      <c r="L42" s="2">
        <v>3</v>
      </c>
      <c r="M42" s="20" t="str">
        <f>VLOOKUP(L42,AT40:AY43,2,FALSE)</f>
        <v>Costa Rica</v>
      </c>
      <c r="N42" s="32">
        <f>VLOOKUP(M42,$AU$40:$AY$43,2,FALSE)</f>
        <v>0</v>
      </c>
      <c r="O42" s="32">
        <f>VLOOKUP(M42,$AU$40:$AY$43,3,FALSE)</f>
        <v>0</v>
      </c>
      <c r="P42" s="32">
        <f>VLOOKUP(M42,$AU$40:$AY$43,4,FALSE)</f>
        <v>0</v>
      </c>
      <c r="Q42" s="33">
        <f>VLOOKUP(M42,$AU$40:$AY$43,5,FALSE)</f>
        <v>0</v>
      </c>
      <c r="Z42" s="95" t="str">
        <f t="shared" si="85"/>
        <v>Brasilien</v>
      </c>
      <c r="AA42" s="96">
        <f t="shared" si="77"/>
        <v>0</v>
      </c>
      <c r="AB42" s="96">
        <f t="shared" si="78"/>
        <v>0</v>
      </c>
      <c r="AC42" s="96">
        <f t="shared" si="79"/>
        <v>0</v>
      </c>
      <c r="AD42" s="95" t="str">
        <f t="shared" si="86"/>
        <v>Costa Rica</v>
      </c>
      <c r="AE42" s="96">
        <f t="shared" si="80"/>
        <v>0</v>
      </c>
      <c r="AF42" s="77">
        <f t="shared" si="81"/>
        <v>0</v>
      </c>
      <c r="AG42" s="77">
        <f t="shared" si="82"/>
        <v>0</v>
      </c>
      <c r="AI42" s="76">
        <f>RANK($AJ42,$AJ$40:$AJ$43,1)+COUNTIF($AJ$40:$AJ42,$AJ42)-1</f>
        <v>3</v>
      </c>
      <c r="AJ42" s="76">
        <f>AK42+AL42+AM42</f>
        <v>1</v>
      </c>
      <c r="AK42" s="76">
        <f t="shared" si="87"/>
        <v>0</v>
      </c>
      <c r="AL42" s="76">
        <f t="shared" si="88"/>
        <v>0</v>
      </c>
      <c r="AM42" s="76">
        <f t="shared" si="89"/>
        <v>1</v>
      </c>
      <c r="AN42" s="95" t="s">
        <v>56</v>
      </c>
      <c r="AO42" s="76">
        <f t="shared" si="90"/>
        <v>0</v>
      </c>
      <c r="AP42" s="76">
        <f t="shared" si="91"/>
        <v>0</v>
      </c>
      <c r="AQ42" s="76">
        <f t="shared" si="92"/>
        <v>0</v>
      </c>
      <c r="AR42" s="76">
        <f t="shared" si="93"/>
        <v>0</v>
      </c>
      <c r="AT42" s="76">
        <v>3</v>
      </c>
      <c r="AU42" s="76" t="str">
        <f t="shared" si="94"/>
        <v>Costa Rica</v>
      </c>
      <c r="AV42" s="76">
        <f t="shared" si="95"/>
        <v>0</v>
      </c>
      <c r="AW42" s="76">
        <f t="shared" si="96"/>
        <v>0</v>
      </c>
      <c r="AX42" s="76">
        <f t="shared" si="97"/>
        <v>0</v>
      </c>
      <c r="AY42" s="76">
        <f t="shared" si="98"/>
        <v>0</v>
      </c>
      <c r="AZ42" s="97">
        <v>25</v>
      </c>
      <c r="BA42" s="108">
        <v>41810.666666666664</v>
      </c>
      <c r="BB42" s="99" t="s">
        <v>62</v>
      </c>
      <c r="BC42" s="100" t="s">
        <v>6</v>
      </c>
      <c r="BD42" s="101" t="s">
        <v>64</v>
      </c>
      <c r="BE42" s="102">
        <f>IF(G42='Resultat &amp; tabell'!$G42,2,0)</f>
        <v>2</v>
      </c>
      <c r="BF42" s="65" t="s">
        <v>6</v>
      </c>
      <c r="BG42" s="102">
        <f>IF(I42='Resultat &amp; tabell'!$I42,2,0)</f>
        <v>2</v>
      </c>
      <c r="BH42" s="102">
        <f>IF(J42='Resultat &amp; tabell'!$J42,3,0)</f>
        <v>3</v>
      </c>
      <c r="BI42" s="103">
        <f t="shared" si="83"/>
        <v>7</v>
      </c>
      <c r="BK42" s="45"/>
      <c r="BL42" s="49"/>
      <c r="BM42" s="49"/>
      <c r="BN42" s="49"/>
      <c r="BO42" s="49"/>
    </row>
    <row r="43" spans="2:67" ht="14.25" customHeight="1" x14ac:dyDescent="0.25">
      <c r="B43" s="16">
        <v>26</v>
      </c>
      <c r="C43" s="107">
        <v>43273</v>
      </c>
      <c r="D43" s="91" t="s">
        <v>170</v>
      </c>
      <c r="E43" s="92" t="s">
        <v>6</v>
      </c>
      <c r="F43" s="93" t="s">
        <v>62</v>
      </c>
      <c r="G43" s="63"/>
      <c r="H43" s="94" t="s">
        <v>6</v>
      </c>
      <c r="I43" s="63"/>
      <c r="J43" s="65" t="str">
        <f t="shared" si="84"/>
        <v/>
      </c>
      <c r="K43" s="64">
        <f>IF('Resultat &amp; tabell'!J43="",0,BI43)</f>
        <v>0</v>
      </c>
      <c r="L43" s="2">
        <v>4</v>
      </c>
      <c r="M43" s="21" t="str">
        <f>VLOOKUP(L43,AT40:AY43,2,FALSE)</f>
        <v>Serbien</v>
      </c>
      <c r="N43" s="18">
        <f>VLOOKUP(M43,$AU$40:$AY$43,2,FALSE)</f>
        <v>0</v>
      </c>
      <c r="O43" s="18">
        <f>VLOOKUP(M43,$AU$40:$AY$43,3,FALSE)</f>
        <v>0</v>
      </c>
      <c r="P43" s="18">
        <f>VLOOKUP(M43,$AU$40:$AY$43,4,FALSE)</f>
        <v>0</v>
      </c>
      <c r="Q43" s="19">
        <f>VLOOKUP(M43,$AU$40:$AY$43,5,FALSE)</f>
        <v>0</v>
      </c>
      <c r="Z43" s="95" t="str">
        <f t="shared" si="85"/>
        <v>Serbien</v>
      </c>
      <c r="AA43" s="96">
        <f t="shared" si="77"/>
        <v>0</v>
      </c>
      <c r="AB43" s="96">
        <f t="shared" si="78"/>
        <v>0</v>
      </c>
      <c r="AC43" s="96">
        <f t="shared" si="79"/>
        <v>0</v>
      </c>
      <c r="AD43" s="95" t="str">
        <f t="shared" si="86"/>
        <v>Schweiz</v>
      </c>
      <c r="AE43" s="96">
        <f t="shared" si="80"/>
        <v>0</v>
      </c>
      <c r="AF43" s="77">
        <f t="shared" si="81"/>
        <v>0</v>
      </c>
      <c r="AG43" s="77">
        <f t="shared" si="82"/>
        <v>0</v>
      </c>
      <c r="AI43" s="76">
        <f>RANK($AJ43,$AJ$40:$AJ$43,1)+COUNTIF($AJ$40:$AJ43,$AJ43)-1</f>
        <v>4</v>
      </c>
      <c r="AJ43" s="76">
        <f>AK43+AL43+AM43</f>
        <v>1</v>
      </c>
      <c r="AK43" s="76">
        <f t="shared" si="87"/>
        <v>0</v>
      </c>
      <c r="AL43" s="76">
        <f t="shared" si="88"/>
        <v>0</v>
      </c>
      <c r="AM43" s="76">
        <f t="shared" si="89"/>
        <v>1</v>
      </c>
      <c r="AN43" s="95" t="s">
        <v>170</v>
      </c>
      <c r="AO43" s="76">
        <f t="shared" si="90"/>
        <v>0</v>
      </c>
      <c r="AP43" s="76">
        <f t="shared" si="91"/>
        <v>0</v>
      </c>
      <c r="AQ43" s="76">
        <f t="shared" si="92"/>
        <v>0</v>
      </c>
      <c r="AR43" s="76">
        <f t="shared" si="93"/>
        <v>0</v>
      </c>
      <c r="AT43" s="76">
        <v>4</v>
      </c>
      <c r="AU43" s="76" t="str">
        <f t="shared" si="94"/>
        <v>Serbien</v>
      </c>
      <c r="AV43" s="76">
        <f t="shared" si="95"/>
        <v>0</v>
      </c>
      <c r="AW43" s="76">
        <f t="shared" si="96"/>
        <v>0</v>
      </c>
      <c r="AX43" s="76">
        <f t="shared" si="97"/>
        <v>0</v>
      </c>
      <c r="AY43" s="76">
        <f t="shared" si="98"/>
        <v>0</v>
      </c>
      <c r="AZ43" s="97">
        <v>26</v>
      </c>
      <c r="BA43" s="108">
        <v>41810.791666666664</v>
      </c>
      <c r="BB43" s="99" t="s">
        <v>65</v>
      </c>
      <c r="BC43" s="100" t="s">
        <v>6</v>
      </c>
      <c r="BD43" s="101" t="s">
        <v>63</v>
      </c>
      <c r="BE43" s="102">
        <f>IF(G43='Resultat &amp; tabell'!$G43,2,0)</f>
        <v>2</v>
      </c>
      <c r="BF43" s="65" t="s">
        <v>6</v>
      </c>
      <c r="BG43" s="102">
        <f>IF(I43='Resultat &amp; tabell'!$I43,2,0)</f>
        <v>2</v>
      </c>
      <c r="BH43" s="102">
        <f>IF(J43='Resultat &amp; tabell'!$J43,3,0)</f>
        <v>3</v>
      </c>
      <c r="BI43" s="103">
        <f t="shared" si="83"/>
        <v>7</v>
      </c>
      <c r="BK43" s="45"/>
      <c r="BL43" s="49"/>
      <c r="BM43" s="49"/>
      <c r="BN43" s="49"/>
      <c r="BO43" s="49"/>
    </row>
    <row r="44" spans="2:67" ht="14.25" customHeight="1" x14ac:dyDescent="0.25">
      <c r="B44" s="16">
        <v>41</v>
      </c>
      <c r="C44" s="107">
        <v>43278</v>
      </c>
      <c r="D44" s="91" t="s">
        <v>170</v>
      </c>
      <c r="E44" s="92" t="s">
        <v>6</v>
      </c>
      <c r="F44" s="93" t="s">
        <v>5</v>
      </c>
      <c r="G44" s="63"/>
      <c r="H44" s="94" t="s">
        <v>6</v>
      </c>
      <c r="I44" s="63"/>
      <c r="J44" s="65" t="str">
        <f t="shared" si="84"/>
        <v/>
      </c>
      <c r="K44" s="64">
        <f>IF('Resultat &amp; tabell'!J44="",0,BI44)</f>
        <v>0</v>
      </c>
      <c r="M44" s="4"/>
      <c r="N44" s="32"/>
      <c r="O44" s="135"/>
      <c r="P44" s="32"/>
      <c r="Q44" s="32"/>
      <c r="Z44" s="95" t="str">
        <f t="shared" si="85"/>
        <v>Serbien</v>
      </c>
      <c r="AA44" s="96">
        <f t="shared" si="77"/>
        <v>0</v>
      </c>
      <c r="AB44" s="96">
        <f t="shared" si="78"/>
        <v>0</v>
      </c>
      <c r="AC44" s="96">
        <f t="shared" si="79"/>
        <v>0</v>
      </c>
      <c r="AD44" s="95" t="str">
        <f t="shared" si="86"/>
        <v>Brasilien</v>
      </c>
      <c r="AE44" s="96">
        <f t="shared" si="80"/>
        <v>0</v>
      </c>
      <c r="AF44" s="77">
        <f t="shared" si="81"/>
        <v>0</v>
      </c>
      <c r="AG44" s="77">
        <f t="shared" si="82"/>
        <v>0</v>
      </c>
      <c r="AZ44" s="97">
        <v>41</v>
      </c>
      <c r="BA44" s="108">
        <v>41815.666666666664</v>
      </c>
      <c r="BB44" s="99" t="s">
        <v>65</v>
      </c>
      <c r="BC44" s="100" t="s">
        <v>6</v>
      </c>
      <c r="BD44" s="101" t="s">
        <v>62</v>
      </c>
      <c r="BE44" s="102">
        <f>IF(G44='Resultat &amp; tabell'!$G44,2,0)</f>
        <v>2</v>
      </c>
      <c r="BF44" s="65" t="s">
        <v>6</v>
      </c>
      <c r="BG44" s="102">
        <f>IF(I44='Resultat &amp; tabell'!$I44,2,0)</f>
        <v>2</v>
      </c>
      <c r="BH44" s="102">
        <f>IF(J44='Resultat &amp; tabell'!$J44,3,0)</f>
        <v>3</v>
      </c>
      <c r="BI44" s="103">
        <f t="shared" si="83"/>
        <v>7</v>
      </c>
      <c r="BL44" s="49"/>
      <c r="BM44" s="49"/>
      <c r="BN44" s="49"/>
      <c r="BO44" s="49"/>
    </row>
    <row r="45" spans="2:67" ht="14.25" customHeight="1" x14ac:dyDescent="0.25">
      <c r="B45" s="16">
        <v>42</v>
      </c>
      <c r="C45" s="107">
        <v>43278</v>
      </c>
      <c r="D45" s="91" t="s">
        <v>62</v>
      </c>
      <c r="E45" s="92" t="s">
        <v>6</v>
      </c>
      <c r="F45" s="93" t="s">
        <v>56</v>
      </c>
      <c r="G45" s="63"/>
      <c r="H45" s="94" t="s">
        <v>6</v>
      </c>
      <c r="I45" s="63"/>
      <c r="J45" s="65" t="str">
        <f t="shared" si="84"/>
        <v/>
      </c>
      <c r="K45" s="64">
        <f>IF('Resultat &amp; tabell'!J45="",0,BI45)</f>
        <v>0</v>
      </c>
      <c r="M45" s="133"/>
      <c r="N45" s="135"/>
      <c r="O45" s="32"/>
      <c r="P45" s="32"/>
      <c r="Q45" s="32"/>
      <c r="Z45" s="95" t="str">
        <f t="shared" si="85"/>
        <v>Schweiz</v>
      </c>
      <c r="AA45" s="96">
        <f t="shared" si="77"/>
        <v>0</v>
      </c>
      <c r="AB45" s="96">
        <f t="shared" si="78"/>
        <v>0</v>
      </c>
      <c r="AC45" s="96">
        <f t="shared" si="79"/>
        <v>0</v>
      </c>
      <c r="AD45" s="95" t="str">
        <f t="shared" si="86"/>
        <v>Costa Rica</v>
      </c>
      <c r="AE45" s="96">
        <f t="shared" si="80"/>
        <v>0</v>
      </c>
      <c r="AF45" s="77">
        <f t="shared" si="81"/>
        <v>0</v>
      </c>
      <c r="AG45" s="77">
        <f t="shared" si="82"/>
        <v>0</v>
      </c>
      <c r="AZ45" s="97">
        <v>42</v>
      </c>
      <c r="BA45" s="108">
        <v>41815.708333333336</v>
      </c>
      <c r="BB45" s="99" t="s">
        <v>63</v>
      </c>
      <c r="BC45" s="100" t="s">
        <v>6</v>
      </c>
      <c r="BD45" s="101" t="s">
        <v>64</v>
      </c>
      <c r="BE45" s="102">
        <f>IF(G45='Resultat &amp; tabell'!$G45,2,0)</f>
        <v>2</v>
      </c>
      <c r="BF45" s="65" t="s">
        <v>6</v>
      </c>
      <c r="BG45" s="102">
        <f>IF(I45='Resultat &amp; tabell'!$I45,2,0)</f>
        <v>2</v>
      </c>
      <c r="BH45" s="102">
        <f>IF(J45='Resultat &amp; tabell'!$J45,3,0)</f>
        <v>3</v>
      </c>
      <c r="BI45" s="103">
        <f t="shared" si="83"/>
        <v>7</v>
      </c>
      <c r="BL45" s="49"/>
      <c r="BM45" s="49"/>
      <c r="BN45" s="49"/>
      <c r="BO45" s="49"/>
    </row>
    <row r="46" spans="2:67" ht="14.25" customHeight="1" x14ac:dyDescent="0.25">
      <c r="C46" s="38"/>
      <c r="J46" s="24"/>
      <c r="K46" s="24"/>
      <c r="N46" s="23"/>
      <c r="O46" s="35"/>
      <c r="P46" s="23"/>
      <c r="Q46" s="23"/>
      <c r="BA46" s="41"/>
      <c r="BI46" s="119"/>
      <c r="BL46" s="49"/>
      <c r="BM46" s="46"/>
      <c r="BN46" s="49"/>
      <c r="BO46" s="49"/>
    </row>
    <row r="47" spans="2:67" s="26" customFormat="1" ht="14.25" customHeight="1" x14ac:dyDescent="0.25">
      <c r="B47" s="6" t="s">
        <v>66</v>
      </c>
      <c r="C47" s="120"/>
      <c r="D47" s="72"/>
      <c r="E47" s="27"/>
      <c r="F47" s="72"/>
      <c r="G47" s="27"/>
      <c r="H47" s="27"/>
      <c r="I47" s="27"/>
      <c r="J47" s="24"/>
      <c r="K47" s="24"/>
      <c r="L47" s="25"/>
      <c r="N47" s="135"/>
      <c r="O47" s="36"/>
      <c r="P47" s="27"/>
      <c r="Q47" s="27"/>
      <c r="S47" s="27"/>
      <c r="T47" s="27"/>
      <c r="U47" s="27"/>
      <c r="V47" s="27"/>
      <c r="W47" s="141"/>
      <c r="Z47" s="74"/>
      <c r="AA47" s="96"/>
      <c r="AB47" s="96"/>
      <c r="AC47" s="96"/>
      <c r="AD47" s="74"/>
      <c r="AE47" s="123"/>
      <c r="AF47" s="124"/>
      <c r="AG47" s="124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78" t="s">
        <v>66</v>
      </c>
      <c r="BA47" s="125"/>
      <c r="BB47" s="79"/>
      <c r="BC47" s="80"/>
      <c r="BD47" s="79"/>
      <c r="BE47" s="80"/>
      <c r="BF47" s="80"/>
      <c r="BG47" s="80"/>
      <c r="BH47" s="80"/>
      <c r="BI47" s="24"/>
      <c r="BJ47" s="127"/>
      <c r="BK47" s="1"/>
      <c r="BL47" s="24"/>
      <c r="BM47" s="142"/>
      <c r="BN47" s="24"/>
      <c r="BO47" s="24"/>
    </row>
    <row r="48" spans="2:67" s="26" customFormat="1" ht="14.25" customHeight="1" x14ac:dyDescent="0.25">
      <c r="B48" s="137" t="s">
        <v>2</v>
      </c>
      <c r="C48" s="129" t="s">
        <v>3</v>
      </c>
      <c r="D48" s="187" t="s">
        <v>2</v>
      </c>
      <c r="E48" s="188"/>
      <c r="F48" s="189"/>
      <c r="G48" s="188" t="s">
        <v>4</v>
      </c>
      <c r="H48" s="188"/>
      <c r="I48" s="188"/>
      <c r="J48" s="28" t="s">
        <v>81</v>
      </c>
      <c r="K48" s="7" t="s">
        <v>89</v>
      </c>
      <c r="L48" s="25"/>
      <c r="M48" s="8" t="s">
        <v>66</v>
      </c>
      <c r="N48" s="9" t="s">
        <v>89</v>
      </c>
      <c r="O48" s="9" t="s">
        <v>90</v>
      </c>
      <c r="P48" s="9" t="s">
        <v>91</v>
      </c>
      <c r="Q48" s="10" t="s">
        <v>101</v>
      </c>
      <c r="S48" s="27"/>
      <c r="T48" s="27"/>
      <c r="U48" s="27"/>
      <c r="V48" s="27"/>
      <c r="W48" s="141"/>
      <c r="Z48" s="85" t="s">
        <v>87</v>
      </c>
      <c r="AA48" s="85" t="s">
        <v>89</v>
      </c>
      <c r="AB48" s="85" t="s">
        <v>90</v>
      </c>
      <c r="AC48" s="85" t="s">
        <v>91</v>
      </c>
      <c r="AD48" s="85" t="s">
        <v>88</v>
      </c>
      <c r="AE48" s="85" t="s">
        <v>89</v>
      </c>
      <c r="AF48" s="85" t="s">
        <v>90</v>
      </c>
      <c r="AG48" s="85" t="s">
        <v>91</v>
      </c>
      <c r="AH48" s="123"/>
      <c r="AI48" s="86" t="s">
        <v>99</v>
      </c>
      <c r="AJ48" s="86" t="s">
        <v>98</v>
      </c>
      <c r="AK48" s="86" t="s">
        <v>97</v>
      </c>
      <c r="AL48" s="85" t="s">
        <v>96</v>
      </c>
      <c r="AM48" s="85" t="s">
        <v>95</v>
      </c>
      <c r="AN48" s="85" t="s">
        <v>92</v>
      </c>
      <c r="AO48" s="85" t="s">
        <v>89</v>
      </c>
      <c r="AP48" s="85" t="s">
        <v>90</v>
      </c>
      <c r="AQ48" s="85" t="s">
        <v>91</v>
      </c>
      <c r="AR48" s="86" t="s">
        <v>93</v>
      </c>
      <c r="AS48" s="123"/>
      <c r="AT48" s="85" t="s">
        <v>94</v>
      </c>
      <c r="AU48" s="85" t="s">
        <v>92</v>
      </c>
      <c r="AV48" s="85" t="s">
        <v>89</v>
      </c>
      <c r="AW48" s="85" t="s">
        <v>90</v>
      </c>
      <c r="AX48" s="85" t="s">
        <v>91</v>
      </c>
      <c r="AY48" s="86" t="s">
        <v>93</v>
      </c>
      <c r="AZ48" s="139" t="s">
        <v>2</v>
      </c>
      <c r="BA48" s="131" t="s">
        <v>3</v>
      </c>
      <c r="BB48" s="143" t="s">
        <v>2</v>
      </c>
      <c r="BC48" s="69"/>
      <c r="BD48" s="144"/>
      <c r="BE48" s="191" t="s">
        <v>4</v>
      </c>
      <c r="BF48" s="191"/>
      <c r="BG48" s="191"/>
      <c r="BH48" s="69" t="s">
        <v>81</v>
      </c>
      <c r="BI48" s="28" t="s">
        <v>89</v>
      </c>
      <c r="BJ48" s="127"/>
      <c r="BK48" s="132"/>
      <c r="BL48" s="24"/>
      <c r="BM48" s="24"/>
      <c r="BN48" s="24"/>
      <c r="BO48" s="24"/>
    </row>
    <row r="49" spans="2:67" ht="14.25" customHeight="1" x14ac:dyDescent="0.25">
      <c r="B49" s="16">
        <v>11</v>
      </c>
      <c r="C49" s="107">
        <v>43268</v>
      </c>
      <c r="D49" s="91" t="s">
        <v>72</v>
      </c>
      <c r="E49" s="92" t="s">
        <v>6</v>
      </c>
      <c r="F49" s="93" t="s">
        <v>171</v>
      </c>
      <c r="G49" s="63"/>
      <c r="H49" s="94" t="s">
        <v>6</v>
      </c>
      <c r="I49" s="63"/>
      <c r="J49" s="65" t="str">
        <f>IF(OR(ISBLANK(G49),ISBLANK(I49)),"",IF(G49&gt;I49,1,IF(G49&lt;I49,2,"X")))</f>
        <v/>
      </c>
      <c r="K49" s="64">
        <f>IF('Resultat &amp; tabell'!J49="",0,BI49)</f>
        <v>0</v>
      </c>
      <c r="L49" s="12">
        <v>1</v>
      </c>
      <c r="M49" s="13" t="str">
        <f>VLOOKUP(L49,AT49:AY52,2,FALSE)</f>
        <v>Tyskland</v>
      </c>
      <c r="N49" s="14">
        <f>VLOOKUP(M49,$AU$49:$AY$52,2,FALSE)</f>
        <v>0</v>
      </c>
      <c r="O49" s="14">
        <f>VLOOKUP(M49,$AU$49:$AY$52,3,FALSE)</f>
        <v>0</v>
      </c>
      <c r="P49" s="14">
        <f>VLOOKUP(M49,$AU$49:$AY$52,4,FALSE)</f>
        <v>0</v>
      </c>
      <c r="Q49" s="15">
        <f>VLOOKUP(M49,$AU$49:$AY$52,5,FALSE)</f>
        <v>0</v>
      </c>
      <c r="Z49" s="95" t="str">
        <f>D49</f>
        <v>Tyskland</v>
      </c>
      <c r="AA49" s="96">
        <f t="shared" ref="AA49:AA54" si="99">IF(G49="",0,IF($G49&lt;$I49,0,IF($G49=$I49,1,3)))</f>
        <v>0</v>
      </c>
      <c r="AB49" s="96">
        <f t="shared" ref="AB49:AB54" si="100">G49</f>
        <v>0</v>
      </c>
      <c r="AC49" s="96">
        <f t="shared" ref="AC49:AC54" si="101">I49</f>
        <v>0</v>
      </c>
      <c r="AD49" s="95" t="str">
        <f>F49</f>
        <v>Mexico</v>
      </c>
      <c r="AE49" s="96">
        <f t="shared" ref="AE49:AE54" si="102">IF(I49="",0,IF(I49&lt;G49,0,IF(G49=I49,1,3)))</f>
        <v>0</v>
      </c>
      <c r="AF49" s="77">
        <f t="shared" ref="AF49:AF54" si="103">I49</f>
        <v>0</v>
      </c>
      <c r="AG49" s="77">
        <f t="shared" ref="AG49:AG54" si="104">G49</f>
        <v>0</v>
      </c>
      <c r="AI49" s="76">
        <f>RANK($AJ49,$AJ$49:$AJ$52,1)+COUNTIF($AJ$49:$AJ49,$AJ49)-1</f>
        <v>1</v>
      </c>
      <c r="AJ49" s="76">
        <f>AK49+AL49+AM49</f>
        <v>1</v>
      </c>
      <c r="AK49" s="76">
        <f>SUMPRODUCT(($AO$49:$AO$52=AO49)*($AR$49:$AR$52=AR49)*($AP$49:$AP$52&gt;AP49))</f>
        <v>0</v>
      </c>
      <c r="AL49" s="76">
        <f>SUMPRODUCT(($AO$49:$AO$52=AO49)*($AR$49:$AR$52&gt;AR49))</f>
        <v>0</v>
      </c>
      <c r="AM49" s="76">
        <f>RANK(AO49,$AO$49:$AO$52)</f>
        <v>1</v>
      </c>
      <c r="AN49" s="95" t="s">
        <v>72</v>
      </c>
      <c r="AO49" s="76">
        <f>SUMIF($Z$49:$Z$54,$AN49,$AA$49:$AA$54)+SUMIF($AD$49:$AD$54,$AN49,$AE$49:$AE$54)</f>
        <v>0</v>
      </c>
      <c r="AP49" s="76">
        <f>SUMIF($Z$49:$Z$54,$AN49,$AB$49:$AB$54)+SUMIF($AD$49:$AD$54,$AN49,$AF$49:$AF$54)</f>
        <v>0</v>
      </c>
      <c r="AQ49" s="76">
        <f>SUMIF($Z$49:$Z$54,$AN49,$AC$49:$AC$54)+SUMIF($AD$49:$AD$54,$AN49,$AG$49:$AG$54)</f>
        <v>0</v>
      </c>
      <c r="AR49" s="76">
        <f>AP49-AQ49</f>
        <v>0</v>
      </c>
      <c r="AT49" s="76">
        <v>1</v>
      </c>
      <c r="AU49" s="76" t="str">
        <f>VLOOKUP($AT49,$AI$49:$AR$52,6,FALSE)</f>
        <v>Tyskland</v>
      </c>
      <c r="AV49" s="76">
        <f>VLOOKUP($AU49,$AN$49:$AR$52,2,FALSE)</f>
        <v>0</v>
      </c>
      <c r="AW49" s="76">
        <f>VLOOKUP($AU49,$AN$49:$AR$52,3,FALSE)</f>
        <v>0</v>
      </c>
      <c r="AX49" s="76">
        <f>VLOOKUP($AU49,$AN$49:$AR$52,4,FALSE)</f>
        <v>0</v>
      </c>
      <c r="AY49" s="76">
        <f>VLOOKUP($AU49,$AN$49:$AR$52,5,FALSE)</f>
        <v>0</v>
      </c>
      <c r="AZ49" s="97">
        <v>11</v>
      </c>
      <c r="BA49" s="108">
        <v>41805.791666666664</v>
      </c>
      <c r="BB49" s="99" t="s">
        <v>67</v>
      </c>
      <c r="BC49" s="100" t="s">
        <v>6</v>
      </c>
      <c r="BD49" s="101" t="s">
        <v>68</v>
      </c>
      <c r="BE49" s="102">
        <f>IF(G49='Resultat &amp; tabell'!$G49,2,0)</f>
        <v>2</v>
      </c>
      <c r="BF49" s="65" t="s">
        <v>6</v>
      </c>
      <c r="BG49" s="102">
        <f>IF(I49='Resultat &amp; tabell'!$I49,2,0)</f>
        <v>2</v>
      </c>
      <c r="BH49" s="102">
        <f>IF(J49='Resultat &amp; tabell'!$J49,3,0)</f>
        <v>3</v>
      </c>
      <c r="BI49" s="103">
        <f t="shared" ref="BI49:BI54" si="105">SUM(BE49+BG49+BH49)</f>
        <v>7</v>
      </c>
      <c r="BJ49" s="104"/>
      <c r="BK49" s="78"/>
      <c r="BL49" s="49"/>
      <c r="BM49" s="49"/>
      <c r="BN49" s="49"/>
      <c r="BO49" s="49"/>
    </row>
    <row r="50" spans="2:67" ht="14.25" customHeight="1" x14ac:dyDescent="0.25">
      <c r="B50" s="16">
        <v>12</v>
      </c>
      <c r="C50" s="107">
        <v>43269</v>
      </c>
      <c r="D50" s="91" t="s">
        <v>172</v>
      </c>
      <c r="E50" s="92" t="s">
        <v>6</v>
      </c>
      <c r="F50" s="93" t="s">
        <v>80</v>
      </c>
      <c r="G50" s="63"/>
      <c r="H50" s="94" t="s">
        <v>6</v>
      </c>
      <c r="I50" s="63"/>
      <c r="J50" s="65" t="str">
        <f t="shared" ref="J50:J54" si="106">IF(OR(ISBLANK(G50),ISBLANK(I50)),"",IF(G50&gt;I50,1,IF(G50&lt;I50,2,"X")))</f>
        <v/>
      </c>
      <c r="K50" s="64">
        <f>IF('Resultat &amp; tabell'!J50="",0,BI50)</f>
        <v>0</v>
      </c>
      <c r="L50" s="2">
        <v>2</v>
      </c>
      <c r="M50" s="17" t="str">
        <f>VLOOKUP(L50,AT49:AY52,2,FALSE)</f>
        <v>Mexico</v>
      </c>
      <c r="N50" s="18">
        <f>VLOOKUP(M50,$AU$49:$AY$52,2,FALSE)</f>
        <v>0</v>
      </c>
      <c r="O50" s="18">
        <f>VLOOKUP(M50,$AU$49:$AY$52,3,FALSE)</f>
        <v>0</v>
      </c>
      <c r="P50" s="18">
        <f>VLOOKUP(M50,$AU$49:$AY$52,4,FALSE)</f>
        <v>0</v>
      </c>
      <c r="Q50" s="19">
        <f>VLOOKUP(M50,$AU$49:$AY$52,5,FALSE)</f>
        <v>0</v>
      </c>
      <c r="Z50" s="95" t="str">
        <f t="shared" ref="Z50:Z54" si="107">D50</f>
        <v>Sverige</v>
      </c>
      <c r="AA50" s="96">
        <f t="shared" si="99"/>
        <v>0</v>
      </c>
      <c r="AB50" s="96">
        <f t="shared" si="100"/>
        <v>0</v>
      </c>
      <c r="AC50" s="96">
        <f t="shared" si="101"/>
        <v>0</v>
      </c>
      <c r="AD50" s="95" t="str">
        <f t="shared" ref="AD50:AD54" si="108">F50</f>
        <v>Sydkorea</v>
      </c>
      <c r="AE50" s="96">
        <f t="shared" si="102"/>
        <v>0</v>
      </c>
      <c r="AF50" s="77">
        <f t="shared" si="103"/>
        <v>0</v>
      </c>
      <c r="AG50" s="77">
        <f t="shared" si="104"/>
        <v>0</v>
      </c>
      <c r="AI50" s="76">
        <f>RANK($AJ50,$AJ$49:$AJ$52,1)+COUNTIF($AJ$49:$AJ50,$AJ50)-1</f>
        <v>2</v>
      </c>
      <c r="AJ50" s="76">
        <f>AK50+AL50+AM50</f>
        <v>1</v>
      </c>
      <c r="AK50" s="76">
        <f t="shared" ref="AK50:AK52" si="109">SUMPRODUCT(($AO$49:$AO$52=AO50)*($AR$49:$AR$52=AR50)*($AP$49:$AP$52&gt;AP50))</f>
        <v>0</v>
      </c>
      <c r="AL50" s="76">
        <f t="shared" ref="AL50:AL52" si="110">SUMPRODUCT(($AO$49:$AO$52=AO50)*($AR$49:$AR$52&gt;AR50))</f>
        <v>0</v>
      </c>
      <c r="AM50" s="76">
        <f t="shared" ref="AM50:AM52" si="111">RANK(AO50,$AO$49:$AO$52)</f>
        <v>1</v>
      </c>
      <c r="AN50" s="95" t="s">
        <v>171</v>
      </c>
      <c r="AO50" s="76">
        <f t="shared" ref="AO50:AO52" si="112">SUMIF($Z$49:$Z$54,$AN50,$AA$49:$AA$54)+SUMIF($AD$49:$AD$54,$AN50,$AE$49:$AE$54)</f>
        <v>0</v>
      </c>
      <c r="AP50" s="76">
        <f t="shared" ref="AP50:AP52" si="113">SUMIF($Z$49:$Z$54,$AN50,$AB$49:$AB$54)+SUMIF($AD$49:$AD$54,$AN50,$AF$49:$AF$54)</f>
        <v>0</v>
      </c>
      <c r="AQ50" s="76">
        <f t="shared" ref="AQ50:AQ52" si="114">SUMIF($Z$49:$Z$54,$AN50,$AC$49:$AC$54)+SUMIF($AD$49:$AD$54,$AN50,$AG$49:$AG$54)</f>
        <v>0</v>
      </c>
      <c r="AR50" s="76">
        <f t="shared" ref="AR50:AR52" si="115">AP50-AQ50</f>
        <v>0</v>
      </c>
      <c r="AT50" s="76">
        <v>2</v>
      </c>
      <c r="AU50" s="76" t="str">
        <f t="shared" ref="AU50:AU52" si="116">VLOOKUP($AT50,$AI$49:$AR$52,6,FALSE)</f>
        <v>Mexico</v>
      </c>
      <c r="AV50" s="76">
        <f t="shared" ref="AV50:AV52" si="117">VLOOKUP($AU50,$AN$49:$AR$52,2,FALSE)</f>
        <v>0</v>
      </c>
      <c r="AW50" s="76">
        <f t="shared" ref="AW50:AW52" si="118">VLOOKUP($AU50,$AN$49:$AR$52,3,FALSE)</f>
        <v>0</v>
      </c>
      <c r="AX50" s="76">
        <f t="shared" ref="AX50:AX52" si="119">VLOOKUP($AU50,$AN$49:$AR$52,4,FALSE)</f>
        <v>0</v>
      </c>
      <c r="AY50" s="76">
        <f t="shared" ref="AY50:AY52" si="120">VLOOKUP($AU50,$AN$49:$AR$52,5,FALSE)</f>
        <v>0</v>
      </c>
      <c r="AZ50" s="97">
        <v>12</v>
      </c>
      <c r="BA50" s="108">
        <v>41806.666666666664</v>
      </c>
      <c r="BB50" s="99" t="s">
        <v>69</v>
      </c>
      <c r="BC50" s="100" t="s">
        <v>6</v>
      </c>
      <c r="BD50" s="101" t="s">
        <v>70</v>
      </c>
      <c r="BE50" s="102">
        <f>IF(G50='Resultat &amp; tabell'!$G50,2,0)</f>
        <v>2</v>
      </c>
      <c r="BF50" s="65" t="s">
        <v>6</v>
      </c>
      <c r="BG50" s="102">
        <f>IF(I50='Resultat &amp; tabell'!$I50,2,0)</f>
        <v>2</v>
      </c>
      <c r="BH50" s="102">
        <f>IF(J50='Resultat &amp; tabell'!$J50,3,0)</f>
        <v>3</v>
      </c>
      <c r="BI50" s="103">
        <f t="shared" si="105"/>
        <v>7</v>
      </c>
      <c r="BK50" s="78"/>
      <c r="BL50" s="49"/>
      <c r="BM50" s="49"/>
      <c r="BN50" s="49"/>
      <c r="BO50" s="49"/>
    </row>
    <row r="51" spans="2:67" ht="14.25" customHeight="1" x14ac:dyDescent="0.25">
      <c r="B51" s="16">
        <v>28</v>
      </c>
      <c r="C51" s="107">
        <v>43274</v>
      </c>
      <c r="D51" s="91" t="s">
        <v>80</v>
      </c>
      <c r="E51" s="92" t="s">
        <v>6</v>
      </c>
      <c r="F51" s="93" t="s">
        <v>171</v>
      </c>
      <c r="G51" s="63"/>
      <c r="H51" s="94" t="s">
        <v>6</v>
      </c>
      <c r="I51" s="63"/>
      <c r="J51" s="65" t="str">
        <f t="shared" si="106"/>
        <v/>
      </c>
      <c r="K51" s="64">
        <f>IF('Resultat &amp; tabell'!J51="",0,BI51)</f>
        <v>0</v>
      </c>
      <c r="L51" s="2">
        <v>3</v>
      </c>
      <c r="M51" s="20" t="str">
        <f>VLOOKUP(L51,AT49:AY52,2,FALSE)</f>
        <v>Sverige</v>
      </c>
      <c r="N51" s="32">
        <f>VLOOKUP(M51,$AU$49:$AY$52,2,FALSE)</f>
        <v>0</v>
      </c>
      <c r="O51" s="32">
        <f>VLOOKUP(M51,$AU$49:$AY$52,3,FALSE)</f>
        <v>0</v>
      </c>
      <c r="P51" s="32">
        <f>VLOOKUP(M51,$AU$49:$AY$52,4,FALSE)</f>
        <v>0</v>
      </c>
      <c r="Q51" s="33">
        <f>VLOOKUP(M51,$AU$49:$AY$52,5,FALSE)</f>
        <v>0</v>
      </c>
      <c r="Z51" s="95" t="str">
        <f t="shared" si="107"/>
        <v>Sydkorea</v>
      </c>
      <c r="AA51" s="96">
        <f t="shared" si="99"/>
        <v>0</v>
      </c>
      <c r="AB51" s="96">
        <f t="shared" si="100"/>
        <v>0</v>
      </c>
      <c r="AC51" s="96">
        <f t="shared" si="101"/>
        <v>0</v>
      </c>
      <c r="AD51" s="95" t="str">
        <f t="shared" si="108"/>
        <v>Mexico</v>
      </c>
      <c r="AE51" s="96">
        <f t="shared" si="102"/>
        <v>0</v>
      </c>
      <c r="AF51" s="77">
        <f t="shared" si="103"/>
        <v>0</v>
      </c>
      <c r="AG51" s="77">
        <f t="shared" si="104"/>
        <v>0</v>
      </c>
      <c r="AI51" s="76">
        <f>RANK($AJ51,$AJ$49:$AJ$52,1)+COUNTIF($AJ$49:$AJ51,$AJ51)-1</f>
        <v>3</v>
      </c>
      <c r="AJ51" s="76">
        <f>AK51+AL51+AM51</f>
        <v>1</v>
      </c>
      <c r="AK51" s="76">
        <f t="shared" si="109"/>
        <v>0</v>
      </c>
      <c r="AL51" s="76">
        <f t="shared" si="110"/>
        <v>0</v>
      </c>
      <c r="AM51" s="76">
        <f t="shared" si="111"/>
        <v>1</v>
      </c>
      <c r="AN51" s="95" t="s">
        <v>172</v>
      </c>
      <c r="AO51" s="76">
        <f t="shared" si="112"/>
        <v>0</v>
      </c>
      <c r="AP51" s="76">
        <f t="shared" si="113"/>
        <v>0</v>
      </c>
      <c r="AQ51" s="76">
        <f t="shared" si="114"/>
        <v>0</v>
      </c>
      <c r="AR51" s="76">
        <f t="shared" si="115"/>
        <v>0</v>
      </c>
      <c r="AT51" s="76">
        <v>3</v>
      </c>
      <c r="AU51" s="76" t="str">
        <f t="shared" si="116"/>
        <v>Sverige</v>
      </c>
      <c r="AV51" s="76">
        <f t="shared" si="117"/>
        <v>0</v>
      </c>
      <c r="AW51" s="76">
        <f t="shared" si="118"/>
        <v>0</v>
      </c>
      <c r="AX51" s="76">
        <f t="shared" si="119"/>
        <v>0</v>
      </c>
      <c r="AY51" s="76">
        <f t="shared" si="120"/>
        <v>0</v>
      </c>
      <c r="AZ51" s="97">
        <v>27</v>
      </c>
      <c r="BA51" s="108">
        <v>41811.541666666664</v>
      </c>
      <c r="BB51" s="99" t="s">
        <v>67</v>
      </c>
      <c r="BC51" s="100" t="s">
        <v>6</v>
      </c>
      <c r="BD51" s="101" t="s">
        <v>69</v>
      </c>
      <c r="BE51" s="102">
        <f>IF(G51='Resultat &amp; tabell'!$G51,2,0)</f>
        <v>2</v>
      </c>
      <c r="BF51" s="65" t="s">
        <v>6</v>
      </c>
      <c r="BG51" s="102">
        <f>IF(I51='Resultat &amp; tabell'!$I51,2,0)</f>
        <v>2</v>
      </c>
      <c r="BH51" s="102">
        <f>IF(J51='Resultat &amp; tabell'!$J51,3,0)</f>
        <v>3</v>
      </c>
      <c r="BI51" s="103">
        <f t="shared" si="105"/>
        <v>7</v>
      </c>
      <c r="BK51" s="45"/>
      <c r="BL51" s="49"/>
      <c r="BM51" s="49"/>
      <c r="BN51" s="49"/>
      <c r="BO51" s="49"/>
    </row>
    <row r="52" spans="2:67" ht="14.25" customHeight="1" x14ac:dyDescent="0.25">
      <c r="B52" s="16">
        <v>27</v>
      </c>
      <c r="C52" s="107">
        <v>43274</v>
      </c>
      <c r="D52" s="91" t="s">
        <v>72</v>
      </c>
      <c r="E52" s="92" t="s">
        <v>6</v>
      </c>
      <c r="F52" s="93" t="s">
        <v>172</v>
      </c>
      <c r="G52" s="63"/>
      <c r="H52" s="94" t="s">
        <v>6</v>
      </c>
      <c r="I52" s="63"/>
      <c r="J52" s="65" t="str">
        <f t="shared" si="106"/>
        <v/>
      </c>
      <c r="K52" s="64">
        <f>IF('Resultat &amp; tabell'!J52="",0,BI52)</f>
        <v>0</v>
      </c>
      <c r="L52" s="2">
        <v>4</v>
      </c>
      <c r="M52" s="21" t="str">
        <f>VLOOKUP(L52,AT49:AY52,2,FALSE)</f>
        <v>Sydkorea</v>
      </c>
      <c r="N52" s="18">
        <f>VLOOKUP(M52,$AU$49:$AY$52,2,FALSE)</f>
        <v>0</v>
      </c>
      <c r="O52" s="18">
        <f>VLOOKUP(M52,$AU$49:$AY$52,3,FALSE)</f>
        <v>0</v>
      </c>
      <c r="P52" s="18">
        <f>VLOOKUP(M52,$AU$49:$AY$52,4,FALSE)</f>
        <v>0</v>
      </c>
      <c r="Q52" s="19">
        <f>VLOOKUP(M52,$AU$49:$AY$52,5,FALSE)</f>
        <v>0</v>
      </c>
      <c r="Z52" s="95" t="str">
        <f t="shared" si="107"/>
        <v>Tyskland</v>
      </c>
      <c r="AA52" s="96">
        <f t="shared" si="99"/>
        <v>0</v>
      </c>
      <c r="AB52" s="96">
        <f t="shared" si="100"/>
        <v>0</v>
      </c>
      <c r="AC52" s="96">
        <f t="shared" si="101"/>
        <v>0</v>
      </c>
      <c r="AD52" s="95" t="str">
        <f t="shared" si="108"/>
        <v>Sverige</v>
      </c>
      <c r="AE52" s="96">
        <f t="shared" si="102"/>
        <v>0</v>
      </c>
      <c r="AF52" s="77">
        <f t="shared" si="103"/>
        <v>0</v>
      </c>
      <c r="AG52" s="77">
        <f t="shared" si="104"/>
        <v>0</v>
      </c>
      <c r="AI52" s="76">
        <f>RANK($AJ52,$AJ$49:$AJ$52,1)+COUNTIF($AJ$49:$AJ52,$AJ52)-1</f>
        <v>4</v>
      </c>
      <c r="AJ52" s="76">
        <f>AK52+AL52+AM52</f>
        <v>1</v>
      </c>
      <c r="AK52" s="76">
        <f t="shared" si="109"/>
        <v>0</v>
      </c>
      <c r="AL52" s="76">
        <f t="shared" si="110"/>
        <v>0</v>
      </c>
      <c r="AM52" s="76">
        <f t="shared" si="111"/>
        <v>1</v>
      </c>
      <c r="AN52" s="95" t="s">
        <v>80</v>
      </c>
      <c r="AO52" s="76">
        <f t="shared" si="112"/>
        <v>0</v>
      </c>
      <c r="AP52" s="76">
        <f t="shared" si="113"/>
        <v>0</v>
      </c>
      <c r="AQ52" s="76">
        <f t="shared" si="114"/>
        <v>0</v>
      </c>
      <c r="AR52" s="76">
        <f t="shared" si="115"/>
        <v>0</v>
      </c>
      <c r="AT52" s="76">
        <v>4</v>
      </c>
      <c r="AU52" s="76" t="str">
        <f t="shared" si="116"/>
        <v>Sydkorea</v>
      </c>
      <c r="AV52" s="76">
        <f t="shared" si="117"/>
        <v>0</v>
      </c>
      <c r="AW52" s="76">
        <f t="shared" si="118"/>
        <v>0</v>
      </c>
      <c r="AX52" s="76">
        <f t="shared" si="119"/>
        <v>0</v>
      </c>
      <c r="AY52" s="76">
        <f t="shared" si="120"/>
        <v>0</v>
      </c>
      <c r="AZ52" s="97">
        <v>28</v>
      </c>
      <c r="BA52" s="108">
        <v>41811.75</v>
      </c>
      <c r="BB52" s="99" t="s">
        <v>70</v>
      </c>
      <c r="BC52" s="100" t="s">
        <v>6</v>
      </c>
      <c r="BD52" s="101" t="s">
        <v>68</v>
      </c>
      <c r="BE52" s="102">
        <f>IF(G52='Resultat &amp; tabell'!$G52,2,0)</f>
        <v>2</v>
      </c>
      <c r="BF52" s="65" t="s">
        <v>6</v>
      </c>
      <c r="BG52" s="102">
        <f>IF(I52='Resultat &amp; tabell'!$I52,2,0)</f>
        <v>2</v>
      </c>
      <c r="BH52" s="102">
        <f>IF(J52='Resultat &amp; tabell'!$J52,3,0)</f>
        <v>3</v>
      </c>
      <c r="BI52" s="103">
        <f t="shared" si="105"/>
        <v>7</v>
      </c>
      <c r="BK52" s="45"/>
      <c r="BL52" s="49"/>
      <c r="BM52" s="49"/>
      <c r="BN52" s="49"/>
      <c r="BO52" s="49"/>
    </row>
    <row r="53" spans="2:67" ht="14.25" customHeight="1" x14ac:dyDescent="0.25">
      <c r="B53" s="16">
        <v>44</v>
      </c>
      <c r="C53" s="107">
        <v>43278</v>
      </c>
      <c r="D53" s="91" t="s">
        <v>171</v>
      </c>
      <c r="E53" s="92" t="s">
        <v>6</v>
      </c>
      <c r="F53" s="93" t="s">
        <v>172</v>
      </c>
      <c r="G53" s="63"/>
      <c r="H53" s="94" t="s">
        <v>6</v>
      </c>
      <c r="I53" s="63"/>
      <c r="J53" s="65" t="str">
        <f t="shared" si="106"/>
        <v/>
      </c>
      <c r="K53" s="64">
        <f>IF('Resultat &amp; tabell'!J53="",0,BI53)</f>
        <v>0</v>
      </c>
      <c r="M53" s="4"/>
      <c r="N53" s="32"/>
      <c r="O53" s="32"/>
      <c r="P53" s="32"/>
      <c r="Q53" s="32"/>
      <c r="Z53" s="95" t="str">
        <f t="shared" si="107"/>
        <v>Mexico</v>
      </c>
      <c r="AA53" s="96">
        <f t="shared" si="99"/>
        <v>0</v>
      </c>
      <c r="AB53" s="96">
        <f t="shared" si="100"/>
        <v>0</v>
      </c>
      <c r="AC53" s="96">
        <f t="shared" si="101"/>
        <v>0</v>
      </c>
      <c r="AD53" s="95" t="str">
        <f t="shared" si="108"/>
        <v>Sverige</v>
      </c>
      <c r="AE53" s="96">
        <f t="shared" si="102"/>
        <v>0</v>
      </c>
      <c r="AF53" s="77">
        <f t="shared" si="103"/>
        <v>0</v>
      </c>
      <c r="AG53" s="77">
        <f t="shared" si="104"/>
        <v>0</v>
      </c>
      <c r="AZ53" s="97">
        <v>43</v>
      </c>
      <c r="BA53" s="108">
        <v>41815.541666666664</v>
      </c>
      <c r="BB53" s="99" t="s">
        <v>70</v>
      </c>
      <c r="BC53" s="100" t="s">
        <v>6</v>
      </c>
      <c r="BD53" s="101" t="s">
        <v>67</v>
      </c>
      <c r="BE53" s="102">
        <f>IF(G53='Resultat &amp; tabell'!$G53,2,0)</f>
        <v>2</v>
      </c>
      <c r="BF53" s="65" t="s">
        <v>6</v>
      </c>
      <c r="BG53" s="102">
        <f>IF(I53='Resultat &amp; tabell'!$I53,2,0)</f>
        <v>2</v>
      </c>
      <c r="BH53" s="102">
        <f>IF(J53='Resultat &amp; tabell'!$J53,3,0)</f>
        <v>3</v>
      </c>
      <c r="BI53" s="103">
        <f t="shared" si="105"/>
        <v>7</v>
      </c>
      <c r="BL53" s="49"/>
      <c r="BM53" s="49"/>
      <c r="BN53" s="49"/>
      <c r="BO53" s="49"/>
    </row>
    <row r="54" spans="2:67" ht="14.25" customHeight="1" x14ac:dyDescent="0.25">
      <c r="B54" s="16">
        <v>43</v>
      </c>
      <c r="C54" s="107">
        <v>43278</v>
      </c>
      <c r="D54" s="91" t="s">
        <v>80</v>
      </c>
      <c r="E54" s="92" t="s">
        <v>6</v>
      </c>
      <c r="F54" s="93" t="s">
        <v>72</v>
      </c>
      <c r="G54" s="63"/>
      <c r="H54" s="94" t="s">
        <v>6</v>
      </c>
      <c r="I54" s="63"/>
      <c r="J54" s="65" t="str">
        <f t="shared" si="106"/>
        <v/>
      </c>
      <c r="K54" s="64">
        <f>IF('Resultat &amp; tabell'!J54="",0,BI54)</f>
        <v>0</v>
      </c>
      <c r="M54" s="135"/>
      <c r="N54" s="135"/>
      <c r="O54" s="32"/>
      <c r="P54" s="135"/>
      <c r="Q54" s="32"/>
      <c r="R54" s="135"/>
      <c r="Z54" s="95" t="str">
        <f t="shared" si="107"/>
        <v>Sydkorea</v>
      </c>
      <c r="AA54" s="96">
        <f t="shared" si="99"/>
        <v>0</v>
      </c>
      <c r="AB54" s="96">
        <f t="shared" si="100"/>
        <v>0</v>
      </c>
      <c r="AC54" s="96">
        <f t="shared" si="101"/>
        <v>0</v>
      </c>
      <c r="AD54" s="95" t="str">
        <f t="shared" si="108"/>
        <v>Tyskland</v>
      </c>
      <c r="AE54" s="96">
        <f t="shared" si="102"/>
        <v>0</v>
      </c>
      <c r="AF54" s="77">
        <f t="shared" si="103"/>
        <v>0</v>
      </c>
      <c r="AG54" s="77">
        <f t="shared" si="104"/>
        <v>0</v>
      </c>
      <c r="AZ54" s="97">
        <v>44</v>
      </c>
      <c r="BA54" s="108">
        <v>41815.541666666664</v>
      </c>
      <c r="BB54" s="99" t="s">
        <v>68</v>
      </c>
      <c r="BC54" s="100" t="s">
        <v>6</v>
      </c>
      <c r="BD54" s="101" t="s">
        <v>69</v>
      </c>
      <c r="BE54" s="102">
        <f>IF(G54='Resultat &amp; tabell'!$G54,2,0)</f>
        <v>2</v>
      </c>
      <c r="BF54" s="65" t="s">
        <v>6</v>
      </c>
      <c r="BG54" s="102">
        <f>IF(I54='Resultat &amp; tabell'!$I54,2,0)</f>
        <v>2</v>
      </c>
      <c r="BH54" s="102">
        <f>IF(J54='Resultat &amp; tabell'!$J54,3,0)</f>
        <v>3</v>
      </c>
      <c r="BI54" s="103">
        <f t="shared" si="105"/>
        <v>7</v>
      </c>
      <c r="BL54" s="49"/>
      <c r="BM54" s="49"/>
      <c r="BN54" s="49"/>
      <c r="BO54" s="49"/>
    </row>
    <row r="55" spans="2:67" ht="14.25" customHeight="1" x14ac:dyDescent="0.25">
      <c r="C55" s="38"/>
      <c r="J55" s="24"/>
      <c r="K55" s="24"/>
      <c r="N55" s="23"/>
      <c r="O55" s="35"/>
      <c r="P55" s="23"/>
      <c r="Q55" s="23"/>
      <c r="BA55" s="41"/>
      <c r="BI55" s="119"/>
      <c r="BL55" s="49"/>
      <c r="BM55" s="46"/>
      <c r="BN55" s="49"/>
      <c r="BO55" s="49"/>
    </row>
    <row r="56" spans="2:67" s="26" customFormat="1" ht="14.25" customHeight="1" x14ac:dyDescent="0.25">
      <c r="B56" s="6" t="s">
        <v>71</v>
      </c>
      <c r="C56" s="120"/>
      <c r="D56" s="72"/>
      <c r="E56" s="27"/>
      <c r="F56" s="72"/>
      <c r="G56" s="27"/>
      <c r="H56" s="27"/>
      <c r="I56" s="27"/>
      <c r="J56" s="24"/>
      <c r="K56" s="24"/>
      <c r="L56" s="25"/>
      <c r="N56" s="27"/>
      <c r="O56" s="36"/>
      <c r="P56" s="27"/>
      <c r="Q56" s="27"/>
      <c r="S56" s="27"/>
      <c r="T56" s="27"/>
      <c r="U56" s="27"/>
      <c r="V56" s="27"/>
      <c r="W56" s="141"/>
      <c r="Z56" s="74"/>
      <c r="AA56" s="96"/>
      <c r="AB56" s="96"/>
      <c r="AC56" s="96"/>
      <c r="AD56" s="74"/>
      <c r="AE56" s="123"/>
      <c r="AF56" s="124"/>
      <c r="AG56" s="124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78" t="s">
        <v>71</v>
      </c>
      <c r="BA56" s="125"/>
      <c r="BB56" s="79"/>
      <c r="BC56" s="80"/>
      <c r="BD56" s="79"/>
      <c r="BE56" s="80"/>
      <c r="BF56" s="80"/>
      <c r="BG56" s="80"/>
      <c r="BH56" s="80"/>
      <c r="BI56" s="24"/>
      <c r="BJ56" s="127"/>
      <c r="BK56" s="1"/>
      <c r="BL56" s="24"/>
      <c r="BM56" s="142"/>
      <c r="BN56" s="24"/>
      <c r="BO56" s="24"/>
    </row>
    <row r="57" spans="2:67" s="26" customFormat="1" ht="14.25" customHeight="1" x14ac:dyDescent="0.25">
      <c r="B57" s="137" t="s">
        <v>2</v>
      </c>
      <c r="C57" s="129" t="s">
        <v>3</v>
      </c>
      <c r="D57" s="187" t="s">
        <v>2</v>
      </c>
      <c r="E57" s="188"/>
      <c r="F57" s="189"/>
      <c r="G57" s="188" t="s">
        <v>4</v>
      </c>
      <c r="H57" s="188"/>
      <c r="I57" s="188"/>
      <c r="J57" s="28" t="s">
        <v>81</v>
      </c>
      <c r="K57" s="7" t="s">
        <v>89</v>
      </c>
      <c r="L57" s="25"/>
      <c r="M57" s="8" t="s">
        <v>71</v>
      </c>
      <c r="N57" s="9" t="s">
        <v>89</v>
      </c>
      <c r="O57" s="9" t="s">
        <v>90</v>
      </c>
      <c r="P57" s="9" t="s">
        <v>91</v>
      </c>
      <c r="Q57" s="10" t="s">
        <v>101</v>
      </c>
      <c r="S57" s="27"/>
      <c r="T57" s="27"/>
      <c r="U57" s="27"/>
      <c r="V57" s="27"/>
      <c r="W57" s="141"/>
      <c r="Z57" s="85" t="s">
        <v>87</v>
      </c>
      <c r="AA57" s="85" t="s">
        <v>89</v>
      </c>
      <c r="AB57" s="85" t="s">
        <v>90</v>
      </c>
      <c r="AC57" s="85" t="s">
        <v>91</v>
      </c>
      <c r="AD57" s="85" t="s">
        <v>88</v>
      </c>
      <c r="AE57" s="85" t="s">
        <v>89</v>
      </c>
      <c r="AF57" s="85" t="s">
        <v>90</v>
      </c>
      <c r="AG57" s="85" t="s">
        <v>91</v>
      </c>
      <c r="AH57" s="123"/>
      <c r="AI57" s="86" t="s">
        <v>99</v>
      </c>
      <c r="AJ57" s="86" t="s">
        <v>98</v>
      </c>
      <c r="AK57" s="86" t="s">
        <v>97</v>
      </c>
      <c r="AL57" s="85" t="s">
        <v>96</v>
      </c>
      <c r="AM57" s="85" t="s">
        <v>95</v>
      </c>
      <c r="AN57" s="85" t="s">
        <v>92</v>
      </c>
      <c r="AO57" s="85" t="s">
        <v>89</v>
      </c>
      <c r="AP57" s="85" t="s">
        <v>90</v>
      </c>
      <c r="AQ57" s="85" t="s">
        <v>91</v>
      </c>
      <c r="AR57" s="86" t="s">
        <v>93</v>
      </c>
      <c r="AS57" s="123"/>
      <c r="AT57" s="85" t="s">
        <v>94</v>
      </c>
      <c r="AU57" s="85" t="s">
        <v>92</v>
      </c>
      <c r="AV57" s="85" t="s">
        <v>89</v>
      </c>
      <c r="AW57" s="85" t="s">
        <v>90</v>
      </c>
      <c r="AX57" s="85" t="s">
        <v>91</v>
      </c>
      <c r="AY57" s="86" t="s">
        <v>93</v>
      </c>
      <c r="AZ57" s="139" t="s">
        <v>2</v>
      </c>
      <c r="BA57" s="131" t="s">
        <v>3</v>
      </c>
      <c r="BB57" s="143" t="s">
        <v>2</v>
      </c>
      <c r="BC57" s="69"/>
      <c r="BD57" s="144"/>
      <c r="BE57" s="191" t="s">
        <v>4</v>
      </c>
      <c r="BF57" s="191"/>
      <c r="BG57" s="191"/>
      <c r="BH57" s="69" t="s">
        <v>81</v>
      </c>
      <c r="BI57" s="28" t="s">
        <v>89</v>
      </c>
      <c r="BJ57" s="127"/>
      <c r="BK57" s="132"/>
      <c r="BL57" s="24"/>
      <c r="BM57" s="24"/>
      <c r="BN57" s="24"/>
      <c r="BO57" s="24"/>
    </row>
    <row r="58" spans="2:67" ht="14.25" customHeight="1" x14ac:dyDescent="0.25">
      <c r="B58" s="16">
        <v>13</v>
      </c>
      <c r="C58" s="107">
        <v>43269</v>
      </c>
      <c r="D58" s="91" t="s">
        <v>77</v>
      </c>
      <c r="E58" s="92" t="s">
        <v>6</v>
      </c>
      <c r="F58" s="93" t="s">
        <v>173</v>
      </c>
      <c r="G58" s="63"/>
      <c r="H58" s="94" t="s">
        <v>6</v>
      </c>
      <c r="I58" s="63"/>
      <c r="J58" s="65" t="str">
        <f>IF(OR(ISBLANK(G58),ISBLANK(I58)),"",IF(G58&gt;I58,1,IF(G58&lt;I58,2,"X")))</f>
        <v/>
      </c>
      <c r="K58" s="64">
        <f>IF('Resultat &amp; tabell'!J58="",0,BI58)</f>
        <v>0</v>
      </c>
      <c r="L58" s="12">
        <v>1</v>
      </c>
      <c r="M58" s="13" t="str">
        <f>VLOOKUP(L58,AT58:AY61,2,FALSE)</f>
        <v>Belgien</v>
      </c>
      <c r="N58" s="14">
        <f>VLOOKUP(M58,$AU$58:$AY$61,2,FALSE)</f>
        <v>0</v>
      </c>
      <c r="O58" s="14">
        <f>VLOOKUP(M58,$AU$58:$AY$61,3,FALSE)</f>
        <v>0</v>
      </c>
      <c r="P58" s="14">
        <f>VLOOKUP(M58,$AU$58:$AY$61,4,FALSE)</f>
        <v>0</v>
      </c>
      <c r="Q58" s="15">
        <f>VLOOKUP(M58,$AU$58:$AY$61,5,FALSE)</f>
        <v>0</v>
      </c>
      <c r="Z58" s="95" t="str">
        <f>D58</f>
        <v>Belgien</v>
      </c>
      <c r="AA58" s="96">
        <f t="shared" ref="AA58:AA63" si="121">IF(G58="",0,IF($G58&lt;$I58,0,IF($G58=$I58,1,3)))</f>
        <v>0</v>
      </c>
      <c r="AB58" s="96">
        <f t="shared" ref="AB58:AB63" si="122">G58</f>
        <v>0</v>
      </c>
      <c r="AC58" s="96">
        <f t="shared" ref="AC58:AC63" si="123">I58</f>
        <v>0</v>
      </c>
      <c r="AD58" s="95" t="str">
        <f>F58</f>
        <v>Panama</v>
      </c>
      <c r="AE58" s="96">
        <f t="shared" ref="AE58:AE63" si="124">IF(I58="",0,IF(I58&lt;G58,0,IF(G58=I58,1,3)))</f>
        <v>0</v>
      </c>
      <c r="AF58" s="77">
        <f t="shared" ref="AF58:AF63" si="125">I58</f>
        <v>0</v>
      </c>
      <c r="AG58" s="77">
        <f t="shared" ref="AG58:AG63" si="126">G58</f>
        <v>0</v>
      </c>
      <c r="AI58" s="76">
        <f>RANK($AJ58,$AJ$58:$AJ$61,1)+COUNTIF($AJ$58:$AJ58,$AJ58)-1</f>
        <v>1</v>
      </c>
      <c r="AJ58" s="76">
        <f>AK58+AL58+AM58</f>
        <v>1</v>
      </c>
      <c r="AK58" s="76">
        <f>SUMPRODUCT(($AO$58:$AO$61=AO58)*($AR$58:$AR$61=AR58)*($AP$58:$AP$61&gt;AP58))</f>
        <v>0</v>
      </c>
      <c r="AL58" s="76">
        <f>SUMPRODUCT(($AO$58:$AO$61=AO58)*($AR$58:$AR$61&gt;AR58))</f>
        <v>0</v>
      </c>
      <c r="AM58" s="76">
        <f>RANK(AO58,$AO$58:$AO$61)</f>
        <v>1</v>
      </c>
      <c r="AN58" s="95" t="s">
        <v>77</v>
      </c>
      <c r="AO58" s="76">
        <f>SUMIF($Z$58:$Z$63,$AN58,$AA$58:$AA$63)+SUMIF($AD$58:$AD$63,$AN58,$AE$58:$AE$63)</f>
        <v>0</v>
      </c>
      <c r="AP58" s="76">
        <f>SUMIF($Z$58:$Z$63,$AN58,$AB$58:$AB$63)+SUMIF($AD$58:$AD$63,$AN58,$AF$58:$AF$63)</f>
        <v>0</v>
      </c>
      <c r="AQ58" s="76">
        <f>SUMIF($Z$58:$Z$63,$AN58,$AC$58:$AC$63)+SUMIF($AD$58:$AD$63,$AN58,$AG$58:$AG$63)</f>
        <v>0</v>
      </c>
      <c r="AR58" s="76">
        <f>AP58-AQ58</f>
        <v>0</v>
      </c>
      <c r="AT58" s="76">
        <v>1</v>
      </c>
      <c r="AU58" s="76" t="str">
        <f>VLOOKUP($AT58,$AI$58:$AR$61,6,FALSE)</f>
        <v>Belgien</v>
      </c>
      <c r="AV58" s="76">
        <f>VLOOKUP($AU58,$AN$58:$AR$61,2,FALSE)</f>
        <v>0</v>
      </c>
      <c r="AW58" s="76">
        <f>VLOOKUP($AU58,$AN$58:$AR$61,3,FALSE)</f>
        <v>0</v>
      </c>
      <c r="AX58" s="76">
        <f>VLOOKUP($AU58,$AN$58:$AR$61,4,FALSE)</f>
        <v>0</v>
      </c>
      <c r="AY58" s="76">
        <f>VLOOKUP($AU58,$AN$58:$AR$61,5,FALSE)</f>
        <v>0</v>
      </c>
      <c r="AZ58" s="97">
        <v>13</v>
      </c>
      <c r="BA58" s="108">
        <v>41806.541666666664</v>
      </c>
      <c r="BB58" s="99" t="s">
        <v>72</v>
      </c>
      <c r="BC58" s="100" t="s">
        <v>6</v>
      </c>
      <c r="BD58" s="101" t="s">
        <v>73</v>
      </c>
      <c r="BE58" s="102">
        <f>IF(G58='Resultat &amp; tabell'!$G58,2,0)</f>
        <v>2</v>
      </c>
      <c r="BF58" s="65" t="s">
        <v>6</v>
      </c>
      <c r="BG58" s="102">
        <f>IF(I58='Resultat &amp; tabell'!$I58,2,0)</f>
        <v>2</v>
      </c>
      <c r="BH58" s="102">
        <f>IF(J58='Resultat &amp; tabell'!$J58,3,0)</f>
        <v>3</v>
      </c>
      <c r="BI58" s="103">
        <f t="shared" ref="BI58:BI63" si="127">SUM(BE58+BG58+BH58)</f>
        <v>7</v>
      </c>
      <c r="BJ58" s="104"/>
      <c r="BK58" s="78"/>
      <c r="BL58" s="49"/>
      <c r="BM58" s="49"/>
      <c r="BN58" s="49"/>
      <c r="BO58" s="49"/>
    </row>
    <row r="59" spans="2:67" ht="14.25" customHeight="1" x14ac:dyDescent="0.25">
      <c r="B59" s="16">
        <v>14</v>
      </c>
      <c r="C59" s="107">
        <v>43269</v>
      </c>
      <c r="D59" s="91" t="s">
        <v>174</v>
      </c>
      <c r="E59" s="92" t="s">
        <v>6</v>
      </c>
      <c r="F59" s="93" t="s">
        <v>59</v>
      </c>
      <c r="G59" s="63"/>
      <c r="H59" s="94" t="s">
        <v>6</v>
      </c>
      <c r="I59" s="63"/>
      <c r="J59" s="65" t="str">
        <f t="shared" ref="J59:J63" si="128">IF(OR(ISBLANK(G59),ISBLANK(I59)),"",IF(G59&gt;I59,1,IF(G59&lt;I59,2,"X")))</f>
        <v/>
      </c>
      <c r="K59" s="64">
        <f>IF('Resultat &amp; tabell'!J59="",0,BI59)</f>
        <v>0</v>
      </c>
      <c r="L59" s="2">
        <v>2</v>
      </c>
      <c r="M59" s="17" t="str">
        <f>VLOOKUP(L59,AT58:AY61,2,FALSE)</f>
        <v>Panama</v>
      </c>
      <c r="N59" s="18">
        <f>VLOOKUP(M59,$AU$58:$AY$61,2,FALSE)</f>
        <v>0</v>
      </c>
      <c r="O59" s="18">
        <f>VLOOKUP(M59,$AU$58:$AY$61,3,FALSE)</f>
        <v>0</v>
      </c>
      <c r="P59" s="18">
        <f>VLOOKUP(M59,$AU$58:$AY$61,4,FALSE)</f>
        <v>0</v>
      </c>
      <c r="Q59" s="19">
        <f>VLOOKUP(M59,$AU$58:$AY$61,5,FALSE)</f>
        <v>0</v>
      </c>
      <c r="Z59" s="95" t="str">
        <f t="shared" ref="Z59:Z63" si="129">D59</f>
        <v>Tunisien</v>
      </c>
      <c r="AA59" s="96">
        <f t="shared" si="121"/>
        <v>0</v>
      </c>
      <c r="AB59" s="96">
        <f t="shared" si="122"/>
        <v>0</v>
      </c>
      <c r="AC59" s="96">
        <f t="shared" si="123"/>
        <v>0</v>
      </c>
      <c r="AD59" s="95" t="str">
        <f t="shared" ref="AD59:AD63" si="130">F59</f>
        <v>England</v>
      </c>
      <c r="AE59" s="96">
        <f t="shared" si="124"/>
        <v>0</v>
      </c>
      <c r="AF59" s="77">
        <f t="shared" si="125"/>
        <v>0</v>
      </c>
      <c r="AG59" s="77">
        <f t="shared" si="126"/>
        <v>0</v>
      </c>
      <c r="AI59" s="76">
        <f>RANK($AJ59,$AJ$58:$AJ$61,1)+COUNTIF($AJ$58:$AJ59,$AJ59)-1</f>
        <v>2</v>
      </c>
      <c r="AJ59" s="76">
        <f>AK59+AL59+AM59</f>
        <v>1</v>
      </c>
      <c r="AK59" s="76">
        <f t="shared" ref="AK59:AK61" si="131">SUMPRODUCT(($AO$58:$AO$61=AO59)*($AR$58:$AR$61=AR59)*($AP$58:$AP$61&gt;AP59))</f>
        <v>0</v>
      </c>
      <c r="AL59" s="76">
        <f t="shared" ref="AL59:AL61" si="132">SUMPRODUCT(($AO$58:$AO$61=AO59)*($AR$58:$AR$61&gt;AR59))</f>
        <v>0</v>
      </c>
      <c r="AM59" s="76">
        <f t="shared" ref="AM59:AM61" si="133">RANK(AO59,$AO$58:$AO$61)</f>
        <v>1</v>
      </c>
      <c r="AN59" s="95" t="s">
        <v>173</v>
      </c>
      <c r="AO59" s="76">
        <f t="shared" ref="AO59:AO61" si="134">SUMIF($Z$58:$Z$63,$AN59,$AA$58:$AA$63)+SUMIF($AD$58:$AD$63,$AN59,$AE$58:$AE$63)</f>
        <v>0</v>
      </c>
      <c r="AP59" s="76">
        <f t="shared" ref="AP59:AP61" si="135">SUMIF($Z$58:$Z$63,$AN59,$AB$58:$AB$63)+SUMIF($AD$58:$AD$63,$AN59,$AF$58:$AF$63)</f>
        <v>0</v>
      </c>
      <c r="AQ59" s="76">
        <f t="shared" ref="AQ59:AQ61" si="136">SUMIF($Z$58:$Z$63,$AN59,$AC$58:$AC$63)+SUMIF($AD$58:$AD$63,$AN59,$AG$58:$AG$63)</f>
        <v>0</v>
      </c>
      <c r="AR59" s="76">
        <f t="shared" ref="AR59:AR61" si="137">AP59-AQ59</f>
        <v>0</v>
      </c>
      <c r="AT59" s="76">
        <v>2</v>
      </c>
      <c r="AU59" s="76" t="str">
        <f t="shared" ref="AU59:AU61" si="138">VLOOKUP($AT59,$AI$58:$AR$61,6,FALSE)</f>
        <v>Panama</v>
      </c>
      <c r="AV59" s="76">
        <f t="shared" ref="AV59:AV61" si="139">VLOOKUP($AU59,$AN$58:$AR$61,2,FALSE)</f>
        <v>0</v>
      </c>
      <c r="AW59" s="76">
        <f t="shared" ref="AW59:AW61" si="140">VLOOKUP($AU59,$AN$58:$AR$61,3,FALSE)</f>
        <v>0</v>
      </c>
      <c r="AX59" s="76">
        <f t="shared" ref="AX59:AX61" si="141">VLOOKUP($AU59,$AN$58:$AR$61,4,FALSE)</f>
        <v>0</v>
      </c>
      <c r="AY59" s="76">
        <f t="shared" ref="AY59:AY61" si="142">VLOOKUP($AU59,$AN$58:$AR$61,5,FALSE)</f>
        <v>0</v>
      </c>
      <c r="AZ59" s="97">
        <v>14</v>
      </c>
      <c r="BA59" s="108">
        <v>41806.791666666664</v>
      </c>
      <c r="BB59" s="99" t="s">
        <v>74</v>
      </c>
      <c r="BC59" s="100" t="s">
        <v>6</v>
      </c>
      <c r="BD59" s="101" t="s">
        <v>75</v>
      </c>
      <c r="BE59" s="102">
        <f>IF(G59='Resultat &amp; tabell'!$G59,2,0)</f>
        <v>2</v>
      </c>
      <c r="BF59" s="65" t="s">
        <v>6</v>
      </c>
      <c r="BG59" s="102">
        <f>IF(I59='Resultat &amp; tabell'!$I59,2,0)</f>
        <v>2</v>
      </c>
      <c r="BH59" s="102">
        <f>IF(J59='Resultat &amp; tabell'!$J59,3,0)</f>
        <v>3</v>
      </c>
      <c r="BI59" s="103">
        <f t="shared" si="127"/>
        <v>7</v>
      </c>
      <c r="BK59" s="78"/>
      <c r="BL59" s="49"/>
      <c r="BM59" s="49"/>
      <c r="BN59" s="49"/>
      <c r="BO59" s="49"/>
    </row>
    <row r="60" spans="2:67" ht="14.25" customHeight="1" x14ac:dyDescent="0.25">
      <c r="B60" s="16">
        <v>29</v>
      </c>
      <c r="C60" s="107">
        <v>43274</v>
      </c>
      <c r="D60" s="91" t="s">
        <v>77</v>
      </c>
      <c r="E60" s="92" t="s">
        <v>6</v>
      </c>
      <c r="F60" s="93" t="s">
        <v>174</v>
      </c>
      <c r="G60" s="63"/>
      <c r="H60" s="94" t="s">
        <v>6</v>
      </c>
      <c r="I60" s="63"/>
      <c r="J60" s="65" t="str">
        <f t="shared" si="128"/>
        <v/>
      </c>
      <c r="K60" s="64">
        <f>IF('Resultat &amp; tabell'!J60="",0,BI60)</f>
        <v>0</v>
      </c>
      <c r="L60" s="2">
        <v>3</v>
      </c>
      <c r="M60" s="20" t="str">
        <f>VLOOKUP(L60,AT58:AY61,2,FALSE)</f>
        <v>Tunisien</v>
      </c>
      <c r="N60" s="32">
        <f>VLOOKUP(M60,$AU$58:$AY$61,2,FALSE)</f>
        <v>0</v>
      </c>
      <c r="O60" s="32">
        <f>VLOOKUP(M60,$AU$58:$AY$61,3,FALSE)</f>
        <v>0</v>
      </c>
      <c r="P60" s="32">
        <f>VLOOKUP(M60,$AU$58:$AY$61,4,FALSE)</f>
        <v>0</v>
      </c>
      <c r="Q60" s="33">
        <f>VLOOKUP(M60,$AU$58:$AY$61,5,FALSE)</f>
        <v>0</v>
      </c>
      <c r="Z60" s="95" t="str">
        <f t="shared" si="129"/>
        <v>Belgien</v>
      </c>
      <c r="AA60" s="96">
        <f t="shared" si="121"/>
        <v>0</v>
      </c>
      <c r="AB60" s="96">
        <f t="shared" si="122"/>
        <v>0</v>
      </c>
      <c r="AC60" s="96">
        <f t="shared" si="123"/>
        <v>0</v>
      </c>
      <c r="AD60" s="95" t="str">
        <f t="shared" si="130"/>
        <v>Tunisien</v>
      </c>
      <c r="AE60" s="96">
        <f t="shared" si="124"/>
        <v>0</v>
      </c>
      <c r="AF60" s="77">
        <f t="shared" si="125"/>
        <v>0</v>
      </c>
      <c r="AG60" s="77">
        <f t="shared" si="126"/>
        <v>0</v>
      </c>
      <c r="AI60" s="76">
        <f>RANK($AJ60,$AJ$58:$AJ$61,1)+COUNTIF($AJ$58:$AJ60,$AJ60)-1</f>
        <v>3</v>
      </c>
      <c r="AJ60" s="76">
        <f>AK60+AL60+AM60</f>
        <v>1</v>
      </c>
      <c r="AK60" s="76">
        <f t="shared" si="131"/>
        <v>0</v>
      </c>
      <c r="AL60" s="76">
        <f t="shared" si="132"/>
        <v>0</v>
      </c>
      <c r="AM60" s="76">
        <f t="shared" si="133"/>
        <v>1</v>
      </c>
      <c r="AN60" s="95" t="s">
        <v>174</v>
      </c>
      <c r="AO60" s="76">
        <f t="shared" si="134"/>
        <v>0</v>
      </c>
      <c r="AP60" s="76">
        <f t="shared" si="135"/>
        <v>0</v>
      </c>
      <c r="AQ60" s="76">
        <f t="shared" si="136"/>
        <v>0</v>
      </c>
      <c r="AR60" s="76">
        <f t="shared" si="137"/>
        <v>0</v>
      </c>
      <c r="AT60" s="76">
        <v>3</v>
      </c>
      <c r="AU60" s="76" t="str">
        <f t="shared" si="138"/>
        <v>Tunisien</v>
      </c>
      <c r="AV60" s="76">
        <f t="shared" si="139"/>
        <v>0</v>
      </c>
      <c r="AW60" s="76">
        <f t="shared" si="140"/>
        <v>0</v>
      </c>
      <c r="AX60" s="76">
        <f t="shared" si="141"/>
        <v>0</v>
      </c>
      <c r="AY60" s="76">
        <f t="shared" si="142"/>
        <v>0</v>
      </c>
      <c r="AZ60" s="97">
        <v>29</v>
      </c>
      <c r="BA60" s="108">
        <v>41811.666666666664</v>
      </c>
      <c r="BB60" s="99" t="s">
        <v>72</v>
      </c>
      <c r="BC60" s="100" t="s">
        <v>6</v>
      </c>
      <c r="BD60" s="101" t="s">
        <v>74</v>
      </c>
      <c r="BE60" s="102">
        <f>IF(G60='Resultat &amp; tabell'!$G60,2,0)</f>
        <v>2</v>
      </c>
      <c r="BF60" s="65" t="s">
        <v>6</v>
      </c>
      <c r="BG60" s="102">
        <f>IF(I60='Resultat &amp; tabell'!$I60,2,0)</f>
        <v>2</v>
      </c>
      <c r="BH60" s="102">
        <f>IF(J60='Resultat &amp; tabell'!$J60,3,0)</f>
        <v>3</v>
      </c>
      <c r="BI60" s="103">
        <f t="shared" si="127"/>
        <v>7</v>
      </c>
      <c r="BK60" s="45"/>
      <c r="BL60" s="49"/>
      <c r="BM60" s="49"/>
      <c r="BN60" s="49"/>
      <c r="BO60" s="49"/>
    </row>
    <row r="61" spans="2:67" ht="14.25" customHeight="1" x14ac:dyDescent="0.25">
      <c r="B61" s="16">
        <v>30</v>
      </c>
      <c r="C61" s="107">
        <v>43275</v>
      </c>
      <c r="D61" s="91" t="s">
        <v>59</v>
      </c>
      <c r="E61" s="92" t="s">
        <v>6</v>
      </c>
      <c r="F61" s="93" t="s">
        <v>173</v>
      </c>
      <c r="G61" s="63"/>
      <c r="H61" s="94" t="s">
        <v>6</v>
      </c>
      <c r="I61" s="63"/>
      <c r="J61" s="65" t="str">
        <f t="shared" si="128"/>
        <v/>
      </c>
      <c r="K61" s="64">
        <f>IF('Resultat &amp; tabell'!J61="",0,BI61)</f>
        <v>0</v>
      </c>
      <c r="L61" s="2">
        <v>4</v>
      </c>
      <c r="M61" s="21" t="str">
        <f>VLOOKUP(L61,AT58:AY61,2,FALSE)</f>
        <v>England</v>
      </c>
      <c r="N61" s="18">
        <f>VLOOKUP(M61,$AU$58:$AY$61,2,FALSE)</f>
        <v>0</v>
      </c>
      <c r="O61" s="18">
        <f>VLOOKUP(M61,$AU$58:$AY$61,3,FALSE)</f>
        <v>0</v>
      </c>
      <c r="P61" s="18">
        <f>VLOOKUP(M61,$AU$58:$AY$61,4,FALSE)</f>
        <v>0</v>
      </c>
      <c r="Q61" s="19">
        <f>VLOOKUP(M61,$AU$58:$AY$61,5,FALSE)</f>
        <v>0</v>
      </c>
      <c r="Z61" s="95" t="str">
        <f t="shared" si="129"/>
        <v>England</v>
      </c>
      <c r="AA61" s="96">
        <f t="shared" si="121"/>
        <v>0</v>
      </c>
      <c r="AB61" s="96">
        <f t="shared" si="122"/>
        <v>0</v>
      </c>
      <c r="AC61" s="96">
        <f t="shared" si="123"/>
        <v>0</v>
      </c>
      <c r="AD61" s="95" t="str">
        <f t="shared" si="130"/>
        <v>Panama</v>
      </c>
      <c r="AE61" s="96">
        <f t="shared" si="124"/>
        <v>0</v>
      </c>
      <c r="AF61" s="77">
        <f t="shared" si="125"/>
        <v>0</v>
      </c>
      <c r="AG61" s="77">
        <f t="shared" si="126"/>
        <v>0</v>
      </c>
      <c r="AI61" s="76">
        <f>RANK($AJ61,$AJ$58:$AJ$61,1)+COUNTIF($AJ$58:$AJ61,$AJ61)-1</f>
        <v>4</v>
      </c>
      <c r="AJ61" s="76">
        <f>AK61+AL61+AM61</f>
        <v>1</v>
      </c>
      <c r="AK61" s="76">
        <f t="shared" si="131"/>
        <v>0</v>
      </c>
      <c r="AL61" s="76">
        <f t="shared" si="132"/>
        <v>0</v>
      </c>
      <c r="AM61" s="76">
        <f t="shared" si="133"/>
        <v>1</v>
      </c>
      <c r="AN61" s="95" t="s">
        <v>59</v>
      </c>
      <c r="AO61" s="76">
        <f t="shared" si="134"/>
        <v>0</v>
      </c>
      <c r="AP61" s="76">
        <f t="shared" si="135"/>
        <v>0</v>
      </c>
      <c r="AQ61" s="76">
        <f t="shared" si="136"/>
        <v>0</v>
      </c>
      <c r="AR61" s="76">
        <f t="shared" si="137"/>
        <v>0</v>
      </c>
      <c r="AT61" s="76">
        <v>4</v>
      </c>
      <c r="AU61" s="76" t="str">
        <f t="shared" si="138"/>
        <v>England</v>
      </c>
      <c r="AV61" s="76">
        <f t="shared" si="139"/>
        <v>0</v>
      </c>
      <c r="AW61" s="76">
        <f t="shared" si="140"/>
        <v>0</v>
      </c>
      <c r="AX61" s="76">
        <f t="shared" si="141"/>
        <v>0</v>
      </c>
      <c r="AY61" s="76">
        <f t="shared" si="142"/>
        <v>0</v>
      </c>
      <c r="AZ61" s="97">
        <v>30</v>
      </c>
      <c r="BA61" s="108">
        <v>41812.75</v>
      </c>
      <c r="BB61" s="99" t="s">
        <v>75</v>
      </c>
      <c r="BC61" s="100" t="s">
        <v>6</v>
      </c>
      <c r="BD61" s="101" t="s">
        <v>73</v>
      </c>
      <c r="BE61" s="102">
        <f>IF(G61='Resultat &amp; tabell'!$G61,2,0)</f>
        <v>2</v>
      </c>
      <c r="BF61" s="65" t="s">
        <v>6</v>
      </c>
      <c r="BG61" s="102">
        <f>IF(I61='Resultat &amp; tabell'!$I61,2,0)</f>
        <v>2</v>
      </c>
      <c r="BH61" s="102">
        <f>IF(J61='Resultat &amp; tabell'!$J61,3,0)</f>
        <v>3</v>
      </c>
      <c r="BI61" s="103">
        <f t="shared" si="127"/>
        <v>7</v>
      </c>
      <c r="BK61" s="45"/>
      <c r="BL61" s="49"/>
      <c r="BM61" s="49"/>
      <c r="BN61" s="49"/>
      <c r="BO61" s="49"/>
    </row>
    <row r="62" spans="2:67" ht="14.25" customHeight="1" x14ac:dyDescent="0.25">
      <c r="B62" s="16">
        <v>46</v>
      </c>
      <c r="C62" s="107">
        <v>43279</v>
      </c>
      <c r="D62" s="91" t="s">
        <v>173</v>
      </c>
      <c r="E62" s="92" t="s">
        <v>6</v>
      </c>
      <c r="F62" s="93" t="s">
        <v>174</v>
      </c>
      <c r="G62" s="63"/>
      <c r="H62" s="94" t="s">
        <v>6</v>
      </c>
      <c r="I62" s="63"/>
      <c r="J62" s="65" t="str">
        <f t="shared" si="128"/>
        <v/>
      </c>
      <c r="K62" s="64">
        <f>IF('Resultat &amp; tabell'!J62="",0,BI62)</f>
        <v>0</v>
      </c>
      <c r="M62" s="135"/>
      <c r="N62" s="135"/>
      <c r="O62" s="35"/>
      <c r="P62" s="135"/>
      <c r="Q62" s="23"/>
      <c r="R62" s="135"/>
      <c r="Z62" s="95" t="str">
        <f t="shared" si="129"/>
        <v>Panama</v>
      </c>
      <c r="AA62" s="96">
        <f t="shared" si="121"/>
        <v>0</v>
      </c>
      <c r="AB62" s="96">
        <f t="shared" si="122"/>
        <v>0</v>
      </c>
      <c r="AC62" s="96">
        <f t="shared" si="123"/>
        <v>0</v>
      </c>
      <c r="AD62" s="95" t="str">
        <f t="shared" si="130"/>
        <v>Tunisien</v>
      </c>
      <c r="AE62" s="96">
        <f t="shared" si="124"/>
        <v>0</v>
      </c>
      <c r="AF62" s="77">
        <f t="shared" si="125"/>
        <v>0</v>
      </c>
      <c r="AG62" s="77">
        <f t="shared" si="126"/>
        <v>0</v>
      </c>
      <c r="AZ62" s="97">
        <v>45</v>
      </c>
      <c r="BA62" s="108">
        <v>41816.541666666664</v>
      </c>
      <c r="BB62" s="99" t="s">
        <v>75</v>
      </c>
      <c r="BC62" s="100" t="s">
        <v>6</v>
      </c>
      <c r="BD62" s="101" t="s">
        <v>72</v>
      </c>
      <c r="BE62" s="102">
        <f>IF(G62='Resultat &amp; tabell'!$G62,2,0)</f>
        <v>2</v>
      </c>
      <c r="BF62" s="65" t="s">
        <v>6</v>
      </c>
      <c r="BG62" s="102">
        <f>IF(I62='Resultat &amp; tabell'!$I62,2,0)</f>
        <v>2</v>
      </c>
      <c r="BH62" s="102">
        <f>IF(J62='Resultat &amp; tabell'!$J62,3,0)</f>
        <v>3</v>
      </c>
      <c r="BI62" s="103">
        <f t="shared" si="127"/>
        <v>7</v>
      </c>
      <c r="BL62" s="49"/>
      <c r="BM62" s="46"/>
      <c r="BN62" s="49"/>
      <c r="BO62" s="49"/>
    </row>
    <row r="63" spans="2:67" ht="14.25" customHeight="1" x14ac:dyDescent="0.25">
      <c r="B63" s="16">
        <v>45</v>
      </c>
      <c r="C63" s="107">
        <v>43279</v>
      </c>
      <c r="D63" s="91" t="s">
        <v>59</v>
      </c>
      <c r="E63" s="92" t="s">
        <v>6</v>
      </c>
      <c r="F63" s="93" t="s">
        <v>77</v>
      </c>
      <c r="G63" s="63"/>
      <c r="H63" s="94" t="s">
        <v>6</v>
      </c>
      <c r="I63" s="63"/>
      <c r="J63" s="65" t="str">
        <f t="shared" si="128"/>
        <v/>
      </c>
      <c r="K63" s="64">
        <f>IF('Resultat &amp; tabell'!J63="",0,BI63)</f>
        <v>0</v>
      </c>
      <c r="N63" s="23"/>
      <c r="O63" s="35"/>
      <c r="P63" s="23"/>
      <c r="Q63" s="23"/>
      <c r="Z63" s="95" t="str">
        <f t="shared" si="129"/>
        <v>England</v>
      </c>
      <c r="AA63" s="96">
        <f t="shared" si="121"/>
        <v>0</v>
      </c>
      <c r="AB63" s="96">
        <f t="shared" si="122"/>
        <v>0</v>
      </c>
      <c r="AC63" s="96">
        <f t="shared" si="123"/>
        <v>0</v>
      </c>
      <c r="AD63" s="95" t="str">
        <f t="shared" si="130"/>
        <v>Belgien</v>
      </c>
      <c r="AE63" s="96">
        <f t="shared" si="124"/>
        <v>0</v>
      </c>
      <c r="AF63" s="77">
        <f t="shared" si="125"/>
        <v>0</v>
      </c>
      <c r="AG63" s="77">
        <f t="shared" si="126"/>
        <v>0</v>
      </c>
      <c r="AZ63" s="97">
        <v>46</v>
      </c>
      <c r="BA63" s="108">
        <v>41816.541666666664</v>
      </c>
      <c r="BB63" s="99" t="s">
        <v>73</v>
      </c>
      <c r="BC63" s="100" t="s">
        <v>6</v>
      </c>
      <c r="BD63" s="101" t="s">
        <v>74</v>
      </c>
      <c r="BE63" s="102">
        <f>IF(G63='Resultat &amp; tabell'!$G63,2,0)</f>
        <v>2</v>
      </c>
      <c r="BF63" s="65" t="s">
        <v>6</v>
      </c>
      <c r="BG63" s="102">
        <f>IF(I63='Resultat &amp; tabell'!$I63,2,0)</f>
        <v>2</v>
      </c>
      <c r="BH63" s="102">
        <f>IF(J63='Resultat &amp; tabell'!$J63,3,0)</f>
        <v>3</v>
      </c>
      <c r="BI63" s="103">
        <f t="shared" si="127"/>
        <v>7</v>
      </c>
      <c r="BL63" s="49"/>
      <c r="BM63" s="46"/>
      <c r="BN63" s="49"/>
      <c r="BO63" s="49"/>
    </row>
    <row r="64" spans="2:67" ht="14.25" customHeight="1" x14ac:dyDescent="0.25">
      <c r="C64" s="38"/>
      <c r="F64" s="135"/>
      <c r="J64" s="24"/>
      <c r="K64" s="24"/>
      <c r="N64" s="23"/>
      <c r="O64" s="35"/>
      <c r="P64" s="23"/>
      <c r="Q64" s="23"/>
      <c r="BA64" s="41"/>
      <c r="BI64" s="119"/>
      <c r="BL64" s="49"/>
      <c r="BM64" s="46"/>
      <c r="BN64" s="49"/>
      <c r="BO64" s="49"/>
    </row>
    <row r="65" spans="2:68" s="26" customFormat="1" ht="14.25" customHeight="1" x14ac:dyDescent="0.25">
      <c r="B65" s="6" t="s">
        <v>76</v>
      </c>
      <c r="C65" s="120"/>
      <c r="D65" s="72"/>
      <c r="E65" s="27"/>
      <c r="F65" s="72"/>
      <c r="G65" s="27"/>
      <c r="H65" s="27"/>
      <c r="I65" s="27"/>
      <c r="J65" s="24"/>
      <c r="K65" s="24"/>
      <c r="L65" s="25"/>
      <c r="N65" s="27"/>
      <c r="O65" s="36"/>
      <c r="P65" s="27"/>
      <c r="Q65" s="27"/>
      <c r="S65" s="27"/>
      <c r="T65" s="27"/>
      <c r="U65" s="27"/>
      <c r="V65" s="27"/>
      <c r="W65" s="141"/>
      <c r="Z65" s="74"/>
      <c r="AA65" s="96"/>
      <c r="AB65" s="96"/>
      <c r="AC65" s="96"/>
      <c r="AD65" s="74"/>
      <c r="AE65" s="123"/>
      <c r="AF65" s="124"/>
      <c r="AG65" s="124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78" t="s">
        <v>76</v>
      </c>
      <c r="BA65" s="125"/>
      <c r="BB65" s="79"/>
      <c r="BC65" s="80"/>
      <c r="BD65" s="79"/>
      <c r="BE65" s="80"/>
      <c r="BF65" s="80"/>
      <c r="BG65" s="80"/>
      <c r="BH65" s="80"/>
      <c r="BI65" s="24"/>
      <c r="BJ65" s="127"/>
      <c r="BK65" s="1"/>
      <c r="BL65" s="24"/>
      <c r="BM65" s="142"/>
      <c r="BN65" s="24"/>
      <c r="BO65" s="24"/>
    </row>
    <row r="66" spans="2:68" s="26" customFormat="1" ht="14.25" customHeight="1" x14ac:dyDescent="0.25">
      <c r="B66" s="137" t="s">
        <v>2</v>
      </c>
      <c r="C66" s="129" t="s">
        <v>3</v>
      </c>
      <c r="D66" s="187" t="s">
        <v>2</v>
      </c>
      <c r="E66" s="188"/>
      <c r="F66" s="189"/>
      <c r="G66" s="188" t="s">
        <v>4</v>
      </c>
      <c r="H66" s="188"/>
      <c r="I66" s="188"/>
      <c r="J66" s="28" t="s">
        <v>81</v>
      </c>
      <c r="K66" s="7" t="s">
        <v>89</v>
      </c>
      <c r="L66" s="25"/>
      <c r="M66" s="8" t="s">
        <v>76</v>
      </c>
      <c r="N66" s="9" t="s">
        <v>89</v>
      </c>
      <c r="O66" s="9" t="s">
        <v>90</v>
      </c>
      <c r="P66" s="9" t="s">
        <v>91</v>
      </c>
      <c r="Q66" s="10" t="s">
        <v>101</v>
      </c>
      <c r="S66" s="27"/>
      <c r="T66" s="27"/>
      <c r="U66" s="27"/>
      <c r="V66" s="27"/>
      <c r="W66" s="141"/>
      <c r="Z66" s="85" t="s">
        <v>87</v>
      </c>
      <c r="AA66" s="85" t="s">
        <v>89</v>
      </c>
      <c r="AB66" s="85" t="s">
        <v>90</v>
      </c>
      <c r="AC66" s="85" t="s">
        <v>91</v>
      </c>
      <c r="AD66" s="85" t="s">
        <v>88</v>
      </c>
      <c r="AE66" s="85" t="s">
        <v>89</v>
      </c>
      <c r="AF66" s="85" t="s">
        <v>90</v>
      </c>
      <c r="AG66" s="85" t="s">
        <v>91</v>
      </c>
      <c r="AH66" s="123"/>
      <c r="AI66" s="86" t="s">
        <v>99</v>
      </c>
      <c r="AJ66" s="86" t="s">
        <v>98</v>
      </c>
      <c r="AK66" s="86" t="s">
        <v>97</v>
      </c>
      <c r="AL66" s="85" t="s">
        <v>96</v>
      </c>
      <c r="AM66" s="85" t="s">
        <v>95</v>
      </c>
      <c r="AN66" s="85" t="s">
        <v>92</v>
      </c>
      <c r="AO66" s="85" t="s">
        <v>89</v>
      </c>
      <c r="AP66" s="85" t="s">
        <v>90</v>
      </c>
      <c r="AQ66" s="85" t="s">
        <v>91</v>
      </c>
      <c r="AR66" s="86" t="s">
        <v>93</v>
      </c>
      <c r="AS66" s="123"/>
      <c r="AT66" s="85" t="s">
        <v>94</v>
      </c>
      <c r="AU66" s="85" t="s">
        <v>92</v>
      </c>
      <c r="AV66" s="85" t="s">
        <v>89</v>
      </c>
      <c r="AW66" s="85" t="s">
        <v>90</v>
      </c>
      <c r="AX66" s="85" t="s">
        <v>91</v>
      </c>
      <c r="AY66" s="86" t="s">
        <v>93</v>
      </c>
      <c r="AZ66" s="139" t="s">
        <v>2</v>
      </c>
      <c r="BA66" s="131" t="s">
        <v>3</v>
      </c>
      <c r="BB66" s="143" t="s">
        <v>2</v>
      </c>
      <c r="BC66" s="69"/>
      <c r="BD66" s="144"/>
      <c r="BE66" s="191" t="s">
        <v>4</v>
      </c>
      <c r="BF66" s="191"/>
      <c r="BG66" s="191"/>
      <c r="BH66" s="69" t="s">
        <v>81</v>
      </c>
      <c r="BI66" s="28" t="s">
        <v>89</v>
      </c>
      <c r="BJ66" s="127"/>
      <c r="BK66" s="132"/>
      <c r="BL66" s="24"/>
      <c r="BM66" s="24"/>
      <c r="BN66" s="24"/>
      <c r="BO66" s="24"/>
    </row>
    <row r="67" spans="2:68" ht="14.25" customHeight="1" x14ac:dyDescent="0.25">
      <c r="B67" s="16">
        <v>16</v>
      </c>
      <c r="C67" s="107">
        <v>43270</v>
      </c>
      <c r="D67" s="91" t="s">
        <v>42</v>
      </c>
      <c r="E67" s="92" t="s">
        <v>6</v>
      </c>
      <c r="F67" s="93" t="s">
        <v>47</v>
      </c>
      <c r="G67" s="63"/>
      <c r="H67" s="94" t="s">
        <v>6</v>
      </c>
      <c r="I67" s="63"/>
      <c r="J67" s="65" t="str">
        <f>IF(OR(ISBLANK(G67),ISBLANK(I67)),"",IF(G67&gt;I67,1,IF(G67&lt;I67,2,"X")))</f>
        <v/>
      </c>
      <c r="K67" s="64">
        <f>IF('Resultat &amp; tabell'!J67="",0,BI67)</f>
        <v>0</v>
      </c>
      <c r="L67" s="12">
        <v>1</v>
      </c>
      <c r="M67" s="13" t="str">
        <f>VLOOKUP(L67,AT67:AY70,2,FALSE)</f>
        <v>Polen</v>
      </c>
      <c r="N67" s="14">
        <f>VLOOKUP(M67,$AU$67:$AY$70,2,FALSE)</f>
        <v>0</v>
      </c>
      <c r="O67" s="14">
        <f>VLOOKUP(M67,$AU$67:$AY$70,3,FALSE)</f>
        <v>0</v>
      </c>
      <c r="P67" s="14">
        <f>VLOOKUP(M67,$AU$67:$AY$70,4,FALSE)</f>
        <v>0</v>
      </c>
      <c r="Q67" s="15">
        <f>VLOOKUP(M67,$AU$67:$AY$70,5,FALSE)</f>
        <v>0</v>
      </c>
      <c r="Z67" s="95" t="str">
        <f>D67</f>
        <v>Colombia</v>
      </c>
      <c r="AA67" s="96">
        <f t="shared" ref="AA67:AA72" si="143">IF(G67="",0,IF($G67&lt;$I67,0,IF($G67=$I67,1,3)))</f>
        <v>0</v>
      </c>
      <c r="AB67" s="96">
        <f t="shared" ref="AB67:AB72" si="144">G67</f>
        <v>0</v>
      </c>
      <c r="AC67" s="96">
        <f t="shared" ref="AC67:AC72" si="145">I67</f>
        <v>0</v>
      </c>
      <c r="AD67" s="95" t="str">
        <f>F67</f>
        <v>Japan</v>
      </c>
      <c r="AE67" s="96">
        <f t="shared" ref="AE67:AE72" si="146">IF(I67="",0,IF(I67&lt;G67,0,IF(G67=I67,1,3)))</f>
        <v>0</v>
      </c>
      <c r="AF67" s="77">
        <f t="shared" ref="AF67:AF72" si="147">I67</f>
        <v>0</v>
      </c>
      <c r="AG67" s="77">
        <f t="shared" ref="AG67:AG72" si="148">G67</f>
        <v>0</v>
      </c>
      <c r="AI67" s="76">
        <f>RANK($AJ67,$AJ$67:$AJ$71,1)+COUNTIF($AJ$67:$AJ67,$AJ67)-1</f>
        <v>1</v>
      </c>
      <c r="AJ67" s="76">
        <f>AK67+AL67+AM67</f>
        <v>1</v>
      </c>
      <c r="AK67" s="76">
        <f>SUMPRODUCT(($AO$67:$AO$70=AO67)*($AR$67:$AR$70=AR67)*($AP$67:$AP$70&gt;AP67))</f>
        <v>0</v>
      </c>
      <c r="AL67" s="76">
        <f>SUMPRODUCT(($AO$67:$AO$70=AO67)*($AR$67:$AR$70&gt;AR67))</f>
        <v>0</v>
      </c>
      <c r="AM67" s="76">
        <f>RANK(AO67,$AO$67:$AO$70)</f>
        <v>1</v>
      </c>
      <c r="AN67" s="95" t="s">
        <v>175</v>
      </c>
      <c r="AO67" s="76">
        <f>SUMIF($Z$67:$Z$72,$AN67,$AA$67:$AA$72)+SUMIF($AD$67:$AD$72,$AN67,$AE$67:$AE$72)</f>
        <v>0</v>
      </c>
      <c r="AP67" s="76">
        <f>SUMIF($Z$67:$Z$72,$AN67,$AB$67:$AB$72)+SUMIF($AD$67:$AD$72,$AN67,$AF$67:$AF$72)</f>
        <v>0</v>
      </c>
      <c r="AQ67" s="76">
        <f>SUMIF($Z$67:$Z$72,$AN67,$AC$67:$AC$72)+SUMIF($AD$67:$AD$72,$AN67,$AG$67:$AG$72)</f>
        <v>0</v>
      </c>
      <c r="AR67" s="76">
        <f>AP67-AQ67</f>
        <v>0</v>
      </c>
      <c r="AT67" s="76">
        <v>1</v>
      </c>
      <c r="AU67" s="76" t="str">
        <f>VLOOKUP($AT67,$AI$67:$AR$70,6,FALSE)</f>
        <v>Polen</v>
      </c>
      <c r="AV67" s="76">
        <f>VLOOKUP($AU67,$AN$67:$AR$70,2,FALSE)</f>
        <v>0</v>
      </c>
      <c r="AW67" s="76">
        <f>VLOOKUP($AU67,$AN$67:$AR$70,3,FALSE)</f>
        <v>0</v>
      </c>
      <c r="AX67" s="76">
        <f>VLOOKUP($AU67,$AN$67:$AR$70,4,FALSE)</f>
        <v>0</v>
      </c>
      <c r="AY67" s="76">
        <f>VLOOKUP($AU67,$AN$67:$AR$70,5,FALSE)</f>
        <v>0</v>
      </c>
      <c r="AZ67" s="97">
        <v>15</v>
      </c>
      <c r="BA67" s="108">
        <v>41807.541666666664</v>
      </c>
      <c r="BB67" s="99" t="s">
        <v>77</v>
      </c>
      <c r="BC67" s="100" t="s">
        <v>6</v>
      </c>
      <c r="BD67" s="101" t="s">
        <v>78</v>
      </c>
      <c r="BE67" s="102">
        <f>IF(G67='Resultat &amp; tabell'!$G67,2,0)</f>
        <v>2</v>
      </c>
      <c r="BF67" s="65" t="s">
        <v>6</v>
      </c>
      <c r="BG67" s="102">
        <f>IF(I67='Resultat &amp; tabell'!$I67,2,0)</f>
        <v>2</v>
      </c>
      <c r="BH67" s="102">
        <f>IF(J67='Resultat &amp; tabell'!$J67,3,0)</f>
        <v>3</v>
      </c>
      <c r="BI67" s="103">
        <f t="shared" ref="BI67:BI72" si="149">SUM(BE67+BG67+BH67)</f>
        <v>7</v>
      </c>
      <c r="BJ67" s="104"/>
      <c r="BK67" s="78"/>
      <c r="BL67" s="49"/>
      <c r="BM67" s="49"/>
      <c r="BN67" s="49"/>
      <c r="BO67" s="49"/>
    </row>
    <row r="68" spans="2:68" ht="14.25" customHeight="1" x14ac:dyDescent="0.25">
      <c r="B68" s="16">
        <v>15</v>
      </c>
      <c r="C68" s="107">
        <v>43270</v>
      </c>
      <c r="D68" s="91" t="s">
        <v>175</v>
      </c>
      <c r="E68" s="92" t="s">
        <v>6</v>
      </c>
      <c r="F68" s="93" t="s">
        <v>176</v>
      </c>
      <c r="G68" s="63"/>
      <c r="H68" s="94" t="s">
        <v>6</v>
      </c>
      <c r="I68" s="63"/>
      <c r="J68" s="65" t="str">
        <f t="shared" ref="J68:J72" si="150">IF(OR(ISBLANK(G68),ISBLANK(I68)),"",IF(G68&gt;I68,1,IF(G68&lt;I68,2,"X")))</f>
        <v/>
      </c>
      <c r="K68" s="64">
        <f>IF('Resultat &amp; tabell'!J68="",0,BI68)</f>
        <v>0</v>
      </c>
      <c r="L68" s="2">
        <v>2</v>
      </c>
      <c r="M68" s="17" t="str">
        <f>VLOOKUP(L68,AT67:AY70,2,FALSE)</f>
        <v>Senegal</v>
      </c>
      <c r="N68" s="18">
        <f>VLOOKUP(M68,$AU$67:$AY$70,2,FALSE)</f>
        <v>0</v>
      </c>
      <c r="O68" s="18">
        <f>VLOOKUP(M68,$AU$67:$AY$70,3,FALSE)</f>
        <v>0</v>
      </c>
      <c r="P68" s="18">
        <f>VLOOKUP(M68,$AU$67:$AY$70,4,FALSE)</f>
        <v>0</v>
      </c>
      <c r="Q68" s="19">
        <f>VLOOKUP(M68,$AU$67:$AY$70,5,FALSE)</f>
        <v>0</v>
      </c>
      <c r="Z68" s="95" t="str">
        <f t="shared" ref="Z68:Z72" si="151">D68</f>
        <v>Polen</v>
      </c>
      <c r="AA68" s="96">
        <f t="shared" si="143"/>
        <v>0</v>
      </c>
      <c r="AB68" s="96">
        <f t="shared" si="144"/>
        <v>0</v>
      </c>
      <c r="AC68" s="96">
        <f t="shared" si="145"/>
        <v>0</v>
      </c>
      <c r="AD68" s="95" t="str">
        <f t="shared" ref="AD68:AD72" si="152">F68</f>
        <v>Senegal</v>
      </c>
      <c r="AE68" s="96">
        <f t="shared" si="146"/>
        <v>0</v>
      </c>
      <c r="AF68" s="77">
        <f t="shared" si="147"/>
        <v>0</v>
      </c>
      <c r="AG68" s="77">
        <f t="shared" si="148"/>
        <v>0</v>
      </c>
      <c r="AI68" s="76">
        <f>RANK($AJ68,$AJ$67:$AJ$71,1)+COUNTIF($AJ$67:$AJ68,$AJ68)-1</f>
        <v>2</v>
      </c>
      <c r="AJ68" s="76">
        <f>AK68+AL68+AM68</f>
        <v>1</v>
      </c>
      <c r="AK68" s="76">
        <f t="shared" ref="AK68:AK70" si="153">SUMPRODUCT(($AO$67:$AO$70=AO68)*($AR$67:$AR$70=AR68)*($AP$67:$AP$70&gt;AP68))</f>
        <v>0</v>
      </c>
      <c r="AL68" s="76">
        <f t="shared" ref="AL68:AL70" si="154">SUMPRODUCT(($AO$67:$AO$70=AO68)*($AR$67:$AR$70&gt;AR68))</f>
        <v>0</v>
      </c>
      <c r="AM68" s="76">
        <f t="shared" ref="AM68:AM70" si="155">RANK(AO68,$AO$67:$AO$70)</f>
        <v>1</v>
      </c>
      <c r="AN68" s="95" t="s">
        <v>176</v>
      </c>
      <c r="AO68" s="76">
        <f t="shared" ref="AO68:AO70" si="156">SUMIF($Z$67:$Z$72,$AN68,$AA$67:$AA$72)+SUMIF($AD$67:$AD$72,$AN68,$AE$67:$AE$72)</f>
        <v>0</v>
      </c>
      <c r="AP68" s="76">
        <f t="shared" ref="AP68:AP70" si="157">SUMIF($Z$67:$Z$72,$AN68,$AB$67:$AB$72)+SUMIF($AD$67:$AD$72,$AN68,$AF$67:$AF$72)</f>
        <v>0</v>
      </c>
      <c r="AQ68" s="76">
        <f t="shared" ref="AQ68:AQ70" si="158">SUMIF($Z$67:$Z$72,$AN68,$AC$67:$AC$72)+SUMIF($AD$67:$AD$72,$AN68,$AG$67:$AG$72)</f>
        <v>0</v>
      </c>
      <c r="AR68" s="76">
        <f t="shared" ref="AR68:AR70" si="159">AP68-AQ68</f>
        <v>0</v>
      </c>
      <c r="AT68" s="76">
        <v>2</v>
      </c>
      <c r="AU68" s="76" t="str">
        <f t="shared" ref="AU68:AU70" si="160">VLOOKUP($AT68,$AI$67:$AR$70,6,FALSE)</f>
        <v>Senegal</v>
      </c>
      <c r="AV68" s="76">
        <f t="shared" ref="AV68:AV70" si="161">VLOOKUP($AU68,$AN$67:$AR$70,2,FALSE)</f>
        <v>0</v>
      </c>
      <c r="AW68" s="76">
        <f t="shared" ref="AW68:AW70" si="162">VLOOKUP($AU68,$AN$67:$AR$70,3,FALSE)</f>
        <v>0</v>
      </c>
      <c r="AX68" s="76">
        <f t="shared" ref="AX68:AX70" si="163">VLOOKUP($AU68,$AN$67:$AR$70,4,FALSE)</f>
        <v>0</v>
      </c>
      <c r="AY68" s="76">
        <f t="shared" ref="AY68:AY70" si="164">VLOOKUP($AU68,$AN$67:$AR$70,5,FALSE)</f>
        <v>0</v>
      </c>
      <c r="AZ68" s="97">
        <v>16</v>
      </c>
      <c r="BA68" s="108">
        <v>41807.75</v>
      </c>
      <c r="BB68" s="99" t="s">
        <v>79</v>
      </c>
      <c r="BC68" s="100" t="s">
        <v>6</v>
      </c>
      <c r="BD68" s="101" t="s">
        <v>80</v>
      </c>
      <c r="BE68" s="102">
        <f>IF(G68='Resultat &amp; tabell'!$G68,2,0)</f>
        <v>2</v>
      </c>
      <c r="BF68" s="65" t="s">
        <v>6</v>
      </c>
      <c r="BG68" s="102">
        <f>IF(I68='Resultat &amp; tabell'!$I68,2,0)</f>
        <v>2</v>
      </c>
      <c r="BH68" s="102">
        <f>IF(J68='Resultat &amp; tabell'!$J68,3,0)</f>
        <v>3</v>
      </c>
      <c r="BI68" s="103">
        <f t="shared" si="149"/>
        <v>7</v>
      </c>
      <c r="BK68" s="78"/>
      <c r="BL68" s="49"/>
      <c r="BM68" s="49"/>
      <c r="BN68" s="49"/>
      <c r="BO68" s="49"/>
    </row>
    <row r="69" spans="2:68" ht="14.25" customHeight="1" x14ac:dyDescent="0.25">
      <c r="B69" s="16">
        <v>32</v>
      </c>
      <c r="C69" s="107">
        <v>43275</v>
      </c>
      <c r="D69" s="91" t="s">
        <v>47</v>
      </c>
      <c r="E69" s="92" t="s">
        <v>6</v>
      </c>
      <c r="F69" s="93" t="s">
        <v>176</v>
      </c>
      <c r="G69" s="63"/>
      <c r="H69" s="94" t="s">
        <v>6</v>
      </c>
      <c r="I69" s="63"/>
      <c r="J69" s="65" t="str">
        <f t="shared" si="150"/>
        <v/>
      </c>
      <c r="K69" s="64">
        <f>IF('Resultat &amp; tabell'!J69="",0,BI69)</f>
        <v>0</v>
      </c>
      <c r="L69" s="2">
        <v>3</v>
      </c>
      <c r="M69" s="20" t="str">
        <f>VLOOKUP(L69,AT67:AY70,2,FALSE)</f>
        <v>Colombia</v>
      </c>
      <c r="N69" s="32">
        <f>VLOOKUP(M69,$AU$67:$AY$70,2,FALSE)</f>
        <v>0</v>
      </c>
      <c r="O69" s="32">
        <f>VLOOKUP(M69,$AU$67:$AY$70,3,FALSE)</f>
        <v>0</v>
      </c>
      <c r="P69" s="32">
        <f>VLOOKUP(M69,$AU$67:$AY$70,4,FALSE)</f>
        <v>0</v>
      </c>
      <c r="Q69" s="33">
        <f>VLOOKUP(M69,$AU$67:$AY$70,5,FALSE)</f>
        <v>0</v>
      </c>
      <c r="Z69" s="95" t="str">
        <f t="shared" si="151"/>
        <v>Japan</v>
      </c>
      <c r="AA69" s="96">
        <f t="shared" si="143"/>
        <v>0</v>
      </c>
      <c r="AB69" s="96">
        <f t="shared" si="144"/>
        <v>0</v>
      </c>
      <c r="AC69" s="96">
        <f t="shared" si="145"/>
        <v>0</v>
      </c>
      <c r="AD69" s="95" t="str">
        <f t="shared" si="152"/>
        <v>Senegal</v>
      </c>
      <c r="AE69" s="96">
        <f t="shared" si="146"/>
        <v>0</v>
      </c>
      <c r="AF69" s="77">
        <f t="shared" si="147"/>
        <v>0</v>
      </c>
      <c r="AG69" s="77">
        <f t="shared" si="148"/>
        <v>0</v>
      </c>
      <c r="AI69" s="76">
        <f>RANK($AJ69,$AJ$67:$AJ$71,1)+COUNTIF($AJ$67:$AJ69,$AJ69)-1</f>
        <v>3</v>
      </c>
      <c r="AJ69" s="76">
        <f>AK69+AL69+AM69</f>
        <v>1</v>
      </c>
      <c r="AK69" s="76">
        <f t="shared" si="153"/>
        <v>0</v>
      </c>
      <c r="AL69" s="76">
        <f t="shared" si="154"/>
        <v>0</v>
      </c>
      <c r="AM69" s="76">
        <f t="shared" si="155"/>
        <v>1</v>
      </c>
      <c r="AN69" s="95" t="s">
        <v>42</v>
      </c>
      <c r="AO69" s="76">
        <f t="shared" si="156"/>
        <v>0</v>
      </c>
      <c r="AP69" s="76">
        <f t="shared" si="157"/>
        <v>0</v>
      </c>
      <c r="AQ69" s="76">
        <f t="shared" si="158"/>
        <v>0</v>
      </c>
      <c r="AR69" s="76">
        <f t="shared" si="159"/>
        <v>0</v>
      </c>
      <c r="AT69" s="76">
        <v>3</v>
      </c>
      <c r="AU69" s="76" t="str">
        <f t="shared" si="160"/>
        <v>Colombia</v>
      </c>
      <c r="AV69" s="76">
        <f t="shared" si="161"/>
        <v>0</v>
      </c>
      <c r="AW69" s="76">
        <f t="shared" si="162"/>
        <v>0</v>
      </c>
      <c r="AX69" s="76">
        <f t="shared" si="163"/>
        <v>0</v>
      </c>
      <c r="AY69" s="76">
        <f t="shared" si="164"/>
        <v>0</v>
      </c>
      <c r="AZ69" s="97">
        <v>31</v>
      </c>
      <c r="BA69" s="108">
        <v>41812.541666666664</v>
      </c>
      <c r="BB69" s="99" t="s">
        <v>77</v>
      </c>
      <c r="BC69" s="100" t="s">
        <v>6</v>
      </c>
      <c r="BD69" s="101" t="s">
        <v>79</v>
      </c>
      <c r="BE69" s="102">
        <f>IF(G69='Resultat &amp; tabell'!$G69,2,0)</f>
        <v>2</v>
      </c>
      <c r="BF69" s="65" t="s">
        <v>6</v>
      </c>
      <c r="BG69" s="102">
        <f>IF(I69='Resultat &amp; tabell'!$I69,2,0)</f>
        <v>2</v>
      </c>
      <c r="BH69" s="102">
        <f>IF(J69='Resultat &amp; tabell'!$J69,3,0)</f>
        <v>3</v>
      </c>
      <c r="BI69" s="103">
        <f t="shared" si="149"/>
        <v>7</v>
      </c>
      <c r="BK69" s="45"/>
      <c r="BL69" s="49"/>
      <c r="BM69" s="49"/>
      <c r="BN69" s="49"/>
      <c r="BO69" s="49"/>
    </row>
    <row r="70" spans="2:68" ht="14.25" customHeight="1" x14ac:dyDescent="0.25">
      <c r="B70" s="16">
        <v>31</v>
      </c>
      <c r="C70" s="107">
        <v>43275</v>
      </c>
      <c r="D70" s="91" t="s">
        <v>175</v>
      </c>
      <c r="E70" s="92" t="s">
        <v>6</v>
      </c>
      <c r="F70" s="93" t="s">
        <v>42</v>
      </c>
      <c r="G70" s="63"/>
      <c r="H70" s="94" t="s">
        <v>6</v>
      </c>
      <c r="I70" s="63"/>
      <c r="J70" s="65" t="str">
        <f t="shared" si="150"/>
        <v/>
      </c>
      <c r="K70" s="64">
        <f>IF('Resultat &amp; tabell'!J70="",0,BI70)</f>
        <v>0</v>
      </c>
      <c r="L70" s="2">
        <v>4</v>
      </c>
      <c r="M70" s="21" t="str">
        <f>VLOOKUP(L70,AT67:AY70,2,FALSE)</f>
        <v>Japan</v>
      </c>
      <c r="N70" s="18">
        <f>VLOOKUP(M70,$AU$67:$AY$70,2,FALSE)</f>
        <v>0</v>
      </c>
      <c r="O70" s="18">
        <f>VLOOKUP(M70,$AU$67:$AY$70,3,FALSE)</f>
        <v>0</v>
      </c>
      <c r="P70" s="18">
        <f>VLOOKUP(M70,$AU$67:$AY$70,4,FALSE)</f>
        <v>0</v>
      </c>
      <c r="Q70" s="19">
        <f>VLOOKUP(M70,$AU$67:$AY$70,5,FALSE)</f>
        <v>0</v>
      </c>
      <c r="Z70" s="95" t="str">
        <f t="shared" si="151"/>
        <v>Polen</v>
      </c>
      <c r="AA70" s="96">
        <f t="shared" si="143"/>
        <v>0</v>
      </c>
      <c r="AB70" s="96">
        <f t="shared" si="144"/>
        <v>0</v>
      </c>
      <c r="AC70" s="96">
        <f t="shared" si="145"/>
        <v>0</v>
      </c>
      <c r="AD70" s="95" t="str">
        <f t="shared" si="152"/>
        <v>Colombia</v>
      </c>
      <c r="AE70" s="96">
        <f t="shared" si="146"/>
        <v>0</v>
      </c>
      <c r="AF70" s="77">
        <f t="shared" si="147"/>
        <v>0</v>
      </c>
      <c r="AG70" s="77">
        <f t="shared" si="148"/>
        <v>0</v>
      </c>
      <c r="AI70" s="76">
        <f>RANK($AJ70,$AJ$67:$AJ$71,1)+COUNTIF($AJ$67:$AJ70,$AJ70)-1</f>
        <v>4</v>
      </c>
      <c r="AJ70" s="76">
        <f>AK70+AL70+AM70</f>
        <v>1</v>
      </c>
      <c r="AK70" s="76">
        <f t="shared" si="153"/>
        <v>0</v>
      </c>
      <c r="AL70" s="76">
        <f t="shared" si="154"/>
        <v>0</v>
      </c>
      <c r="AM70" s="76">
        <f t="shared" si="155"/>
        <v>1</v>
      </c>
      <c r="AN70" s="95" t="s">
        <v>47</v>
      </c>
      <c r="AO70" s="76">
        <f t="shared" si="156"/>
        <v>0</v>
      </c>
      <c r="AP70" s="76">
        <f t="shared" si="157"/>
        <v>0</v>
      </c>
      <c r="AQ70" s="76">
        <f t="shared" si="158"/>
        <v>0</v>
      </c>
      <c r="AR70" s="76">
        <f t="shared" si="159"/>
        <v>0</v>
      </c>
      <c r="AT70" s="76">
        <v>4</v>
      </c>
      <c r="AU70" s="76" t="str">
        <f t="shared" si="160"/>
        <v>Japan</v>
      </c>
      <c r="AV70" s="76">
        <f t="shared" si="161"/>
        <v>0</v>
      </c>
      <c r="AW70" s="76">
        <f t="shared" si="162"/>
        <v>0</v>
      </c>
      <c r="AX70" s="76">
        <f t="shared" si="163"/>
        <v>0</v>
      </c>
      <c r="AY70" s="76">
        <f t="shared" si="164"/>
        <v>0</v>
      </c>
      <c r="AZ70" s="97">
        <v>32</v>
      </c>
      <c r="BA70" s="108">
        <v>41812.666666666664</v>
      </c>
      <c r="BB70" s="99" t="s">
        <v>80</v>
      </c>
      <c r="BC70" s="100" t="s">
        <v>6</v>
      </c>
      <c r="BD70" s="101" t="s">
        <v>78</v>
      </c>
      <c r="BE70" s="102">
        <f>IF(G70='Resultat &amp; tabell'!$G70,2,0)</f>
        <v>2</v>
      </c>
      <c r="BF70" s="65" t="s">
        <v>6</v>
      </c>
      <c r="BG70" s="102">
        <f>IF(I70='Resultat &amp; tabell'!$I70,2,0)</f>
        <v>2</v>
      </c>
      <c r="BH70" s="102">
        <f>IF(J70='Resultat &amp; tabell'!$J70,3,0)</f>
        <v>3</v>
      </c>
      <c r="BI70" s="103">
        <f t="shared" si="149"/>
        <v>7</v>
      </c>
      <c r="BK70" s="45"/>
      <c r="BL70" s="49"/>
      <c r="BM70" s="49"/>
      <c r="BN70" s="49"/>
      <c r="BO70" s="49"/>
    </row>
    <row r="71" spans="2:68" ht="14.25" customHeight="1" x14ac:dyDescent="0.25">
      <c r="B71" s="16">
        <v>47</v>
      </c>
      <c r="C71" s="107">
        <v>43279</v>
      </c>
      <c r="D71" s="91" t="s">
        <v>47</v>
      </c>
      <c r="E71" s="92" t="s">
        <v>6</v>
      </c>
      <c r="F71" s="93" t="s">
        <v>175</v>
      </c>
      <c r="G71" s="63"/>
      <c r="H71" s="94" t="s">
        <v>6</v>
      </c>
      <c r="I71" s="63"/>
      <c r="J71" s="65" t="str">
        <f t="shared" si="150"/>
        <v/>
      </c>
      <c r="K71" s="64">
        <f>IF('Resultat &amp; tabell'!J71="",0,BI71)</f>
        <v>0</v>
      </c>
      <c r="M71" s="135"/>
      <c r="N71" s="135"/>
      <c r="P71" s="135"/>
      <c r="R71" s="135"/>
      <c r="Z71" s="95" t="str">
        <f t="shared" si="151"/>
        <v>Japan</v>
      </c>
      <c r="AA71" s="96">
        <f t="shared" si="143"/>
        <v>0</v>
      </c>
      <c r="AB71" s="96">
        <f t="shared" si="144"/>
        <v>0</v>
      </c>
      <c r="AC71" s="96">
        <f t="shared" si="145"/>
        <v>0</v>
      </c>
      <c r="AD71" s="95" t="str">
        <f t="shared" si="152"/>
        <v>Polen</v>
      </c>
      <c r="AE71" s="96">
        <f t="shared" si="146"/>
        <v>0</v>
      </c>
      <c r="AF71" s="77">
        <f t="shared" si="147"/>
        <v>0</v>
      </c>
      <c r="AG71" s="77">
        <f t="shared" si="148"/>
        <v>0</v>
      </c>
      <c r="AZ71" s="97">
        <v>47</v>
      </c>
      <c r="BA71" s="108">
        <v>41816.708333333336</v>
      </c>
      <c r="BB71" s="99" t="s">
        <v>80</v>
      </c>
      <c r="BC71" s="100" t="s">
        <v>6</v>
      </c>
      <c r="BD71" s="101" t="s">
        <v>77</v>
      </c>
      <c r="BE71" s="102">
        <f>IF(G71='Resultat &amp; tabell'!$G71,2,0)</f>
        <v>2</v>
      </c>
      <c r="BF71" s="65" t="s">
        <v>6</v>
      </c>
      <c r="BG71" s="102">
        <f>IF(I71='Resultat &amp; tabell'!$I71,2,0)</f>
        <v>2</v>
      </c>
      <c r="BH71" s="102">
        <f>IF(J71='Resultat &amp; tabell'!$J71,3,0)</f>
        <v>3</v>
      </c>
      <c r="BI71" s="103">
        <f t="shared" si="149"/>
        <v>7</v>
      </c>
      <c r="BN71" s="83"/>
      <c r="BO71" s="83"/>
    </row>
    <row r="72" spans="2:68" ht="14.25" customHeight="1" x14ac:dyDescent="0.25">
      <c r="B72" s="16">
        <v>48</v>
      </c>
      <c r="C72" s="107">
        <v>43279</v>
      </c>
      <c r="D72" s="91" t="s">
        <v>176</v>
      </c>
      <c r="E72" s="92" t="s">
        <v>6</v>
      </c>
      <c r="F72" s="93" t="s">
        <v>42</v>
      </c>
      <c r="G72" s="63"/>
      <c r="H72" s="94" t="s">
        <v>6</v>
      </c>
      <c r="I72" s="63"/>
      <c r="J72" s="65" t="str">
        <f t="shared" si="150"/>
        <v/>
      </c>
      <c r="K72" s="64">
        <f>IF('Resultat &amp; tabell'!J72="",0,BI72)</f>
        <v>0</v>
      </c>
      <c r="Z72" s="95" t="str">
        <f t="shared" si="151"/>
        <v>Senegal</v>
      </c>
      <c r="AA72" s="96">
        <f t="shared" si="143"/>
        <v>0</v>
      </c>
      <c r="AB72" s="96">
        <f t="shared" si="144"/>
        <v>0</v>
      </c>
      <c r="AC72" s="96">
        <f t="shared" si="145"/>
        <v>0</v>
      </c>
      <c r="AD72" s="95" t="str">
        <f t="shared" si="152"/>
        <v>Colombia</v>
      </c>
      <c r="AE72" s="96">
        <f t="shared" si="146"/>
        <v>0</v>
      </c>
      <c r="AF72" s="77">
        <f t="shared" si="147"/>
        <v>0</v>
      </c>
      <c r="AG72" s="77">
        <f t="shared" si="148"/>
        <v>0</v>
      </c>
      <c r="AZ72" s="97">
        <v>48</v>
      </c>
      <c r="BA72" s="108">
        <v>41816.708333333336</v>
      </c>
      <c r="BB72" s="99" t="s">
        <v>78</v>
      </c>
      <c r="BC72" s="100" t="s">
        <v>6</v>
      </c>
      <c r="BD72" s="101" t="s">
        <v>79</v>
      </c>
      <c r="BE72" s="102">
        <f>IF(G72='Resultat &amp; tabell'!$G72,2,0)</f>
        <v>2</v>
      </c>
      <c r="BF72" s="65" t="s">
        <v>6</v>
      </c>
      <c r="BG72" s="102">
        <f>IF(I72='Resultat &amp; tabell'!$I72,2,0)</f>
        <v>2</v>
      </c>
      <c r="BH72" s="102">
        <f>IF(J72='Resultat &amp; tabell'!$J72,3,0)</f>
        <v>3</v>
      </c>
      <c r="BI72" s="103">
        <f t="shared" si="149"/>
        <v>7</v>
      </c>
    </row>
    <row r="73" spans="2:68" ht="14.25" customHeight="1" x14ac:dyDescent="0.25">
      <c r="J73" s="24"/>
      <c r="K73" s="24"/>
      <c r="BI73" s="119"/>
    </row>
    <row r="74" spans="2:68" ht="14.25" customHeight="1" x14ac:dyDescent="0.25">
      <c r="B74" s="72" t="s">
        <v>1</v>
      </c>
      <c r="C74" s="38"/>
      <c r="D74" s="5"/>
      <c r="J74" s="24"/>
      <c r="K74" s="24"/>
      <c r="Z74" s="77"/>
      <c r="AZ74" s="79" t="s">
        <v>1</v>
      </c>
      <c r="BA74" s="41"/>
      <c r="BB74" s="82"/>
      <c r="BI74" s="119"/>
      <c r="BK74" s="147" t="s">
        <v>1</v>
      </c>
      <c r="BL74" s="148"/>
      <c r="BM74" s="149"/>
      <c r="BN74" s="150"/>
      <c r="BO74" s="150"/>
    </row>
    <row r="75" spans="2:68" ht="14.25" customHeight="1" x14ac:dyDescent="0.25">
      <c r="B75" s="137" t="s">
        <v>2</v>
      </c>
      <c r="C75" s="129" t="s">
        <v>3</v>
      </c>
      <c r="D75" s="187" t="s">
        <v>2</v>
      </c>
      <c r="E75" s="188"/>
      <c r="F75" s="189"/>
      <c r="G75" s="188" t="s">
        <v>4</v>
      </c>
      <c r="H75" s="188"/>
      <c r="I75" s="188"/>
      <c r="J75" s="28" t="s">
        <v>81</v>
      </c>
      <c r="K75" s="7" t="s">
        <v>89</v>
      </c>
      <c r="M75" s="39" t="s">
        <v>125</v>
      </c>
      <c r="N75" s="39"/>
      <c r="O75" s="40"/>
      <c r="P75" s="195" t="s">
        <v>144</v>
      </c>
      <c r="Q75" s="191"/>
      <c r="R75" s="191"/>
      <c r="S75" s="196"/>
      <c r="W75" s="23"/>
      <c r="X75" s="145"/>
      <c r="Z75" s="5"/>
      <c r="AA75" s="124" t="s">
        <v>2</v>
      </c>
      <c r="AB75" s="124"/>
      <c r="AC75" s="124"/>
      <c r="AD75" s="124"/>
      <c r="AE75" s="124"/>
      <c r="AF75" s="76"/>
      <c r="AH75" s="77"/>
      <c r="AZ75" s="139" t="s">
        <v>2</v>
      </c>
      <c r="BA75" s="131" t="s">
        <v>3</v>
      </c>
      <c r="BB75" s="143" t="s">
        <v>2</v>
      </c>
      <c r="BC75" s="69"/>
      <c r="BD75" s="144"/>
      <c r="BE75" s="69" t="s">
        <v>4</v>
      </c>
      <c r="BF75" s="69"/>
      <c r="BG75" s="69"/>
      <c r="BH75" s="69" t="s">
        <v>81</v>
      </c>
      <c r="BI75" s="28" t="s">
        <v>89</v>
      </c>
      <c r="BK75" s="82"/>
      <c r="BL75" s="1" t="s">
        <v>104</v>
      </c>
      <c r="BM75" s="78" t="s">
        <v>103</v>
      </c>
      <c r="BN75" s="78" t="s">
        <v>105</v>
      </c>
      <c r="BO75" s="78" t="s">
        <v>106</v>
      </c>
      <c r="BP75" s="78" t="s">
        <v>89</v>
      </c>
    </row>
    <row r="76" spans="2:68" ht="14.25" customHeight="1" x14ac:dyDescent="0.25">
      <c r="B76" s="111">
        <v>50</v>
      </c>
      <c r="C76" s="151">
        <v>43281</v>
      </c>
      <c r="D76" s="152" t="str">
        <f>M22</f>
        <v>Frankrike</v>
      </c>
      <c r="E76" s="153" t="s">
        <v>6</v>
      </c>
      <c r="F76" s="154" t="str">
        <f>M32</f>
        <v>Island</v>
      </c>
      <c r="G76" s="63"/>
      <c r="H76" s="94" t="s">
        <v>6</v>
      </c>
      <c r="I76" s="63"/>
      <c r="J76" s="65" t="str">
        <f t="shared" ref="J76:J83" si="165">IF(OR(ISBLANK(G76),ISBLANK(I76)),"",IF(G76&gt;I76,1,IF(G76&lt;I76,2,"X")))</f>
        <v/>
      </c>
      <c r="K76" s="64">
        <f>IF('Resultat &amp; tabell'!J76="",0,BI76)</f>
        <v>0</v>
      </c>
      <c r="M76" s="66"/>
      <c r="N76" s="67" t="str">
        <f>IF(OR(ISBLANK(D76),ISBLANK(F76),J76="",M76=""),"",IF(OR(AND(J76=1,M76=D76),AND(J76=2,M76=F76),AND(J76="X",OR(M76=D76,M76=F76))),"","Ej OK"))</f>
        <v/>
      </c>
      <c r="O76" s="40" t="b">
        <f>M76=D76</f>
        <v>0</v>
      </c>
      <c r="P76" s="207">
        <f>BP92</f>
        <v>0</v>
      </c>
      <c r="Q76" s="208"/>
      <c r="R76" s="208"/>
      <c r="S76" s="209"/>
      <c r="W76" s="23"/>
      <c r="X76" s="145"/>
      <c r="Z76" s="5"/>
      <c r="AA76" s="96" t="s">
        <v>8</v>
      </c>
      <c r="AD76" s="96"/>
      <c r="AE76" s="95" t="s">
        <v>9</v>
      </c>
      <c r="AF76" s="76"/>
      <c r="AH76" s="77"/>
      <c r="AZ76" s="112">
        <v>49</v>
      </c>
      <c r="BA76" s="113">
        <v>41818</v>
      </c>
      <c r="BB76" s="99" t="str">
        <f t="shared" ref="BB76:BB83" si="166">D76</f>
        <v>Frankrike</v>
      </c>
      <c r="BC76" s="155" t="s">
        <v>6</v>
      </c>
      <c r="BD76" s="99" t="str">
        <f t="shared" ref="BD76:BD83" si="167">F76</f>
        <v>Island</v>
      </c>
      <c r="BE76" s="102">
        <f>IF(G76='Resultat &amp; tabell'!$G76,2,0)</f>
        <v>2</v>
      </c>
      <c r="BF76" s="156" t="s">
        <v>6</v>
      </c>
      <c r="BG76" s="102">
        <f>IF(I76='Resultat &amp; tabell'!$I76,2,0)</f>
        <v>2</v>
      </c>
      <c r="BH76" s="102">
        <f>IF(J76='Resultat &amp; tabell'!$J76,3,0)</f>
        <v>3</v>
      </c>
      <c r="BI76" s="103">
        <f t="shared" ref="BI76:BI83" si="168">SUM(BE76+BG76+BH76)</f>
        <v>7</v>
      </c>
      <c r="BK76" s="82"/>
      <c r="BL76" s="45" t="str">
        <f t="shared" ref="BL76:BL83" si="169">BB76</f>
        <v>Frankrike</v>
      </c>
      <c r="BM76" s="45" t="str">
        <f>'Resultat &amp; tabell'!D76</f>
        <v>Frankrike</v>
      </c>
      <c r="BN76" s="146" t="str">
        <f t="shared" ref="BN76:BN91" si="170">VLOOKUP(BL76,$BM$76:$BM$91,1,FALSE)</f>
        <v>Frankrike</v>
      </c>
      <c r="BO76" s="157" t="str">
        <f>BN76</f>
        <v>Frankrike</v>
      </c>
      <c r="BP76" s="82">
        <f t="shared" ref="BP76:BP91" si="171">IFERROR(IF(BN76=BO76,2,0),0)</f>
        <v>2</v>
      </c>
    </row>
    <row r="77" spans="2:68" ht="14.25" customHeight="1" x14ac:dyDescent="0.25">
      <c r="B77" s="16">
        <v>49</v>
      </c>
      <c r="C77" s="107">
        <v>43281</v>
      </c>
      <c r="D77" s="152" t="str">
        <f>M4</f>
        <v>Ryssland</v>
      </c>
      <c r="E77" s="153" t="s">
        <v>6</v>
      </c>
      <c r="F77" s="154" t="str">
        <f>M14</f>
        <v>Spanien</v>
      </c>
      <c r="G77" s="63"/>
      <c r="H77" s="94" t="s">
        <v>6</v>
      </c>
      <c r="I77" s="63"/>
      <c r="J77" s="65" t="str">
        <f t="shared" si="165"/>
        <v/>
      </c>
      <c r="K77" s="64">
        <f>IF('Resultat &amp; tabell'!J77="",0,BI77)</f>
        <v>0</v>
      </c>
      <c r="M77" s="66"/>
      <c r="N77" s="67" t="str">
        <f t="shared" ref="N77:N83" si="172">IF(OR(ISBLANK(D77),ISBLANK(F77),J77="",M77=""),"",IF(OR(AND(J77=1,M77=D77),AND(J77=2,M77=F77),AND(J77="X",OR(M77=D77,M77=F77))),"","Ej OK"))</f>
        <v/>
      </c>
      <c r="O77" s="40"/>
      <c r="P77" s="41"/>
      <c r="Q77" s="2"/>
      <c r="R77" s="2"/>
      <c r="S77" s="5"/>
      <c r="W77" s="23"/>
      <c r="X77" s="145"/>
      <c r="Z77" s="5"/>
      <c r="AA77" s="96" t="s">
        <v>12</v>
      </c>
      <c r="AD77" s="96"/>
      <c r="AE77" s="95" t="s">
        <v>13</v>
      </c>
      <c r="AF77" s="76"/>
      <c r="AH77" s="77"/>
      <c r="AZ77" s="97">
        <v>50</v>
      </c>
      <c r="BA77" s="108">
        <v>41818.708333333336</v>
      </c>
      <c r="BB77" s="99" t="str">
        <f t="shared" si="166"/>
        <v>Ryssland</v>
      </c>
      <c r="BC77" s="155" t="s">
        <v>6</v>
      </c>
      <c r="BD77" s="99" t="str">
        <f t="shared" si="167"/>
        <v>Spanien</v>
      </c>
      <c r="BE77" s="102">
        <f>IF(G77='Resultat &amp; tabell'!$G77,2,0)</f>
        <v>2</v>
      </c>
      <c r="BF77" s="65" t="s">
        <v>6</v>
      </c>
      <c r="BG77" s="102">
        <f>IF(I77='Resultat &amp; tabell'!$I77,2,0)</f>
        <v>2</v>
      </c>
      <c r="BH77" s="102">
        <f>IF(J77='Resultat &amp; tabell'!$J77,3,0)</f>
        <v>3</v>
      </c>
      <c r="BI77" s="103">
        <f t="shared" si="168"/>
        <v>7</v>
      </c>
      <c r="BK77" s="82"/>
      <c r="BL77" s="45" t="str">
        <f t="shared" si="169"/>
        <v>Ryssland</v>
      </c>
      <c r="BM77" s="45" t="str">
        <f>'Resultat &amp; tabell'!D77</f>
        <v>Ryssland</v>
      </c>
      <c r="BN77" s="146" t="str">
        <f t="shared" si="170"/>
        <v>Ryssland</v>
      </c>
      <c r="BO77" s="157" t="str">
        <f t="shared" ref="BO77:BO91" si="173">BN77</f>
        <v>Ryssland</v>
      </c>
      <c r="BP77" s="82">
        <f t="shared" si="171"/>
        <v>2</v>
      </c>
    </row>
    <row r="78" spans="2:68" ht="14.25" customHeight="1" x14ac:dyDescent="0.25">
      <c r="B78" s="16">
        <v>51</v>
      </c>
      <c r="C78" s="107">
        <v>43282</v>
      </c>
      <c r="D78" s="152" t="str">
        <f>M13</f>
        <v>Portugal</v>
      </c>
      <c r="E78" s="153" t="s">
        <v>6</v>
      </c>
      <c r="F78" s="154" t="str">
        <f>M5</f>
        <v>Saudiarabien</v>
      </c>
      <c r="G78" s="63"/>
      <c r="H78" s="94" t="s">
        <v>6</v>
      </c>
      <c r="I78" s="63"/>
      <c r="J78" s="65" t="str">
        <f t="shared" si="165"/>
        <v/>
      </c>
      <c r="K78" s="64">
        <f>IF('Resultat &amp; tabell'!J78="",0,BI78)</f>
        <v>0</v>
      </c>
      <c r="M78" s="66"/>
      <c r="N78" s="67" t="str">
        <f t="shared" si="172"/>
        <v/>
      </c>
      <c r="O78" s="40"/>
      <c r="P78" s="41"/>
      <c r="Q78" s="2"/>
      <c r="R78" s="2"/>
      <c r="S78" s="5"/>
      <c r="W78" s="23"/>
      <c r="X78" s="145"/>
      <c r="Z78" s="5"/>
      <c r="AA78" s="96" t="s">
        <v>14</v>
      </c>
      <c r="AD78" s="96"/>
      <c r="AE78" s="95" t="s">
        <v>15</v>
      </c>
      <c r="AF78" s="76"/>
      <c r="AH78" s="77"/>
      <c r="AZ78" s="97">
        <v>51</v>
      </c>
      <c r="BA78" s="108">
        <v>41819.541666666664</v>
      </c>
      <c r="BB78" s="99" t="str">
        <f t="shared" si="166"/>
        <v>Portugal</v>
      </c>
      <c r="BC78" s="155" t="s">
        <v>6</v>
      </c>
      <c r="BD78" s="99" t="str">
        <f t="shared" si="167"/>
        <v>Saudiarabien</v>
      </c>
      <c r="BE78" s="102">
        <f>IF(G78='Resultat &amp; tabell'!$G78,2,0)</f>
        <v>2</v>
      </c>
      <c r="BF78" s="65" t="s">
        <v>6</v>
      </c>
      <c r="BG78" s="102">
        <f>IF(I78='Resultat &amp; tabell'!$I78,2,0)</f>
        <v>2</v>
      </c>
      <c r="BH78" s="102">
        <f>IF(J78='Resultat &amp; tabell'!$J78,3,0)</f>
        <v>3</v>
      </c>
      <c r="BI78" s="103">
        <f t="shared" si="168"/>
        <v>7</v>
      </c>
      <c r="BK78" s="82"/>
      <c r="BL78" s="45" t="str">
        <f t="shared" si="169"/>
        <v>Portugal</v>
      </c>
      <c r="BM78" s="45" t="str">
        <f>'Resultat &amp; tabell'!D78</f>
        <v>Portugal</v>
      </c>
      <c r="BN78" s="146" t="str">
        <f t="shared" si="170"/>
        <v>Portugal</v>
      </c>
      <c r="BO78" s="157" t="str">
        <f t="shared" si="173"/>
        <v>Portugal</v>
      </c>
      <c r="BP78" s="82">
        <f t="shared" si="171"/>
        <v>2</v>
      </c>
    </row>
    <row r="79" spans="2:68" ht="14.25" customHeight="1" x14ac:dyDescent="0.25">
      <c r="B79" s="16">
        <v>52</v>
      </c>
      <c r="C79" s="107">
        <v>43282</v>
      </c>
      <c r="D79" s="152" t="str">
        <f>M31</f>
        <v>Argentina</v>
      </c>
      <c r="E79" s="153" t="s">
        <v>6</v>
      </c>
      <c r="F79" s="154" t="str">
        <f>M23</f>
        <v>Australien</v>
      </c>
      <c r="G79" s="63"/>
      <c r="H79" s="94" t="s">
        <v>6</v>
      </c>
      <c r="I79" s="63"/>
      <c r="J79" s="65" t="str">
        <f t="shared" si="165"/>
        <v/>
      </c>
      <c r="K79" s="64">
        <f>IF('Resultat &amp; tabell'!J79="",0,BI79)</f>
        <v>0</v>
      </c>
      <c r="M79" s="66"/>
      <c r="N79" s="67" t="str">
        <f t="shared" si="172"/>
        <v/>
      </c>
      <c r="O79" s="40"/>
      <c r="P79" s="41"/>
      <c r="Q79" s="2"/>
      <c r="R79" s="2"/>
      <c r="S79" s="5"/>
      <c r="W79" s="23"/>
      <c r="X79" s="145"/>
      <c r="Z79" s="5"/>
      <c r="AA79" s="96" t="s">
        <v>16</v>
      </c>
      <c r="AD79" s="96"/>
      <c r="AE79" s="95" t="s">
        <v>17</v>
      </c>
      <c r="AF79" s="76"/>
      <c r="AH79" s="77"/>
      <c r="AZ79" s="97">
        <v>52</v>
      </c>
      <c r="BA79" s="108">
        <v>41819.708333333336</v>
      </c>
      <c r="BB79" s="99" t="str">
        <f t="shared" si="166"/>
        <v>Argentina</v>
      </c>
      <c r="BC79" s="155" t="s">
        <v>6</v>
      </c>
      <c r="BD79" s="99" t="str">
        <f t="shared" si="167"/>
        <v>Australien</v>
      </c>
      <c r="BE79" s="102">
        <f>IF(G79='Resultat &amp; tabell'!$G79,2,0)</f>
        <v>2</v>
      </c>
      <c r="BF79" s="65" t="s">
        <v>6</v>
      </c>
      <c r="BG79" s="102">
        <f>IF(I79='Resultat &amp; tabell'!$I79,2,0)</f>
        <v>2</v>
      </c>
      <c r="BH79" s="102">
        <f>IF(J79='Resultat &amp; tabell'!$J79,3,0)</f>
        <v>3</v>
      </c>
      <c r="BI79" s="103">
        <f t="shared" si="168"/>
        <v>7</v>
      </c>
      <c r="BK79" s="82"/>
      <c r="BL79" s="45" t="str">
        <f t="shared" si="169"/>
        <v>Argentina</v>
      </c>
      <c r="BM79" s="45" t="str">
        <f>'Resultat &amp; tabell'!D79</f>
        <v>Argentina</v>
      </c>
      <c r="BN79" s="146" t="str">
        <f t="shared" si="170"/>
        <v>Argentina</v>
      </c>
      <c r="BO79" s="157" t="str">
        <f t="shared" si="173"/>
        <v>Argentina</v>
      </c>
      <c r="BP79" s="82">
        <f t="shared" si="171"/>
        <v>2</v>
      </c>
    </row>
    <row r="80" spans="2:68" ht="14.25" customHeight="1" x14ac:dyDescent="0.25">
      <c r="B80" s="158">
        <v>53</v>
      </c>
      <c r="C80" s="159">
        <v>43283</v>
      </c>
      <c r="D80" s="152" t="str">
        <f>M40</f>
        <v>Brasilien</v>
      </c>
      <c r="E80" s="153" t="s">
        <v>6</v>
      </c>
      <c r="F80" s="154" t="str">
        <f>M50</f>
        <v>Mexico</v>
      </c>
      <c r="G80" s="63"/>
      <c r="H80" s="94" t="s">
        <v>6</v>
      </c>
      <c r="I80" s="63"/>
      <c r="J80" s="65" t="str">
        <f t="shared" si="165"/>
        <v/>
      </c>
      <c r="K80" s="64">
        <f>IF('Resultat &amp; tabell'!J80="",0,BI80)</f>
        <v>0</v>
      </c>
      <c r="M80" s="66"/>
      <c r="N80" s="67" t="str">
        <f t="shared" si="172"/>
        <v/>
      </c>
      <c r="O80" s="40"/>
      <c r="P80" s="41"/>
      <c r="Q80" s="2"/>
      <c r="R80" s="2"/>
      <c r="S80" s="5"/>
      <c r="W80" s="23"/>
      <c r="X80" s="145"/>
      <c r="Z80" s="5"/>
      <c r="AA80" s="96" t="s">
        <v>18</v>
      </c>
      <c r="AD80" s="96"/>
      <c r="AE80" s="95" t="s">
        <v>19</v>
      </c>
      <c r="AF80" s="76"/>
      <c r="AH80" s="77"/>
      <c r="AZ80" s="160">
        <v>53</v>
      </c>
      <c r="BA80" s="161">
        <v>41820.541666666664</v>
      </c>
      <c r="BB80" s="99" t="str">
        <f t="shared" si="166"/>
        <v>Brasilien</v>
      </c>
      <c r="BC80" s="155" t="s">
        <v>6</v>
      </c>
      <c r="BD80" s="99" t="str">
        <f t="shared" si="167"/>
        <v>Mexico</v>
      </c>
      <c r="BE80" s="102">
        <f>IF(G80='Resultat &amp; tabell'!$G80,2,0)</f>
        <v>2</v>
      </c>
      <c r="BF80" s="65" t="s">
        <v>6</v>
      </c>
      <c r="BG80" s="102">
        <f>IF(I80='Resultat &amp; tabell'!$I80,2,0)</f>
        <v>2</v>
      </c>
      <c r="BH80" s="102">
        <f>IF(J80='Resultat &amp; tabell'!$J80,3,0)</f>
        <v>3</v>
      </c>
      <c r="BI80" s="103">
        <f t="shared" si="168"/>
        <v>7</v>
      </c>
      <c r="BK80" s="82"/>
      <c r="BL80" s="45" t="str">
        <f t="shared" si="169"/>
        <v>Brasilien</v>
      </c>
      <c r="BM80" s="45" t="str">
        <f>'Resultat &amp; tabell'!D80</f>
        <v>Brasilien</v>
      </c>
      <c r="BN80" s="146" t="str">
        <f t="shared" si="170"/>
        <v>Brasilien</v>
      </c>
      <c r="BO80" s="157" t="str">
        <f t="shared" si="173"/>
        <v>Brasilien</v>
      </c>
      <c r="BP80" s="82">
        <f t="shared" si="171"/>
        <v>2</v>
      </c>
    </row>
    <row r="81" spans="2:68" ht="14.25" customHeight="1" x14ac:dyDescent="0.25">
      <c r="B81" s="16">
        <v>54</v>
      </c>
      <c r="C81" s="159">
        <v>43283</v>
      </c>
      <c r="D81" s="152" t="str">
        <f>M58</f>
        <v>Belgien</v>
      </c>
      <c r="E81" s="153" t="s">
        <v>6</v>
      </c>
      <c r="F81" s="154" t="str">
        <f>M68</f>
        <v>Senegal</v>
      </c>
      <c r="G81" s="63"/>
      <c r="H81" s="94" t="s">
        <v>6</v>
      </c>
      <c r="I81" s="63"/>
      <c r="J81" s="65" t="str">
        <f t="shared" si="165"/>
        <v/>
      </c>
      <c r="K81" s="64">
        <f>IF('Resultat &amp; tabell'!J81="",0,BI81)</f>
        <v>0</v>
      </c>
      <c r="M81" s="66"/>
      <c r="N81" s="67" t="str">
        <f t="shared" si="172"/>
        <v/>
      </c>
      <c r="O81" s="40"/>
      <c r="P81" s="41"/>
      <c r="Q81" s="2"/>
      <c r="R81" s="2"/>
      <c r="S81" s="5"/>
      <c r="W81" s="23"/>
      <c r="X81" s="145"/>
      <c r="Z81" s="5"/>
      <c r="AA81" s="96" t="s">
        <v>20</v>
      </c>
      <c r="AD81" s="96"/>
      <c r="AE81" s="95" t="s">
        <v>21</v>
      </c>
      <c r="AF81" s="76"/>
      <c r="AH81" s="77"/>
      <c r="AZ81" s="97">
        <v>54</v>
      </c>
      <c r="BA81" s="108">
        <v>41820.708333333336</v>
      </c>
      <c r="BB81" s="99" t="str">
        <f t="shared" si="166"/>
        <v>Belgien</v>
      </c>
      <c r="BC81" s="155" t="s">
        <v>6</v>
      </c>
      <c r="BD81" s="99" t="str">
        <f t="shared" si="167"/>
        <v>Senegal</v>
      </c>
      <c r="BE81" s="102">
        <f>IF(G81='Resultat &amp; tabell'!$G81,2,0)</f>
        <v>2</v>
      </c>
      <c r="BF81" s="65" t="s">
        <v>6</v>
      </c>
      <c r="BG81" s="102">
        <f>IF(I81='Resultat &amp; tabell'!$I81,2,0)</f>
        <v>2</v>
      </c>
      <c r="BH81" s="102">
        <f>IF(J81='Resultat &amp; tabell'!$J81,3,0)</f>
        <v>3</v>
      </c>
      <c r="BI81" s="103">
        <f t="shared" si="168"/>
        <v>7</v>
      </c>
      <c r="BK81" s="82"/>
      <c r="BL81" s="45" t="str">
        <f t="shared" si="169"/>
        <v>Belgien</v>
      </c>
      <c r="BM81" s="45" t="str">
        <f>'Resultat &amp; tabell'!D81</f>
        <v>Belgien</v>
      </c>
      <c r="BN81" s="146" t="str">
        <f t="shared" si="170"/>
        <v>Belgien</v>
      </c>
      <c r="BO81" s="157" t="str">
        <f t="shared" si="173"/>
        <v>Belgien</v>
      </c>
      <c r="BP81" s="82">
        <f t="shared" si="171"/>
        <v>2</v>
      </c>
    </row>
    <row r="82" spans="2:68" ht="14.25" customHeight="1" x14ac:dyDescent="0.25">
      <c r="B82" s="16">
        <v>55</v>
      </c>
      <c r="C82" s="107">
        <v>43284</v>
      </c>
      <c r="D82" s="152" t="str">
        <f>M49</f>
        <v>Tyskland</v>
      </c>
      <c r="E82" s="153" t="s">
        <v>6</v>
      </c>
      <c r="F82" s="154" t="str">
        <f>M41</f>
        <v>Schweiz</v>
      </c>
      <c r="G82" s="63"/>
      <c r="H82" s="94" t="s">
        <v>6</v>
      </c>
      <c r="I82" s="63"/>
      <c r="J82" s="65" t="str">
        <f t="shared" si="165"/>
        <v/>
      </c>
      <c r="K82" s="64">
        <f>IF('Resultat &amp; tabell'!J82="",0,BI82)</f>
        <v>0</v>
      </c>
      <c r="M82" s="66"/>
      <c r="N82" s="67" t="str">
        <f t="shared" si="172"/>
        <v/>
      </c>
      <c r="O82" s="40"/>
      <c r="P82" s="41"/>
      <c r="Q82" s="2"/>
      <c r="R82" s="2"/>
      <c r="S82" s="5"/>
      <c r="W82" s="23"/>
      <c r="X82" s="145"/>
      <c r="Z82" s="5"/>
      <c r="AA82" s="96" t="s">
        <v>22</v>
      </c>
      <c r="AD82" s="96"/>
      <c r="AE82" s="95" t="s">
        <v>23</v>
      </c>
      <c r="AF82" s="76"/>
      <c r="AH82" s="77"/>
      <c r="AZ82" s="97">
        <v>55</v>
      </c>
      <c r="BA82" s="108">
        <v>41821</v>
      </c>
      <c r="BB82" s="99" t="str">
        <f t="shared" si="166"/>
        <v>Tyskland</v>
      </c>
      <c r="BC82" s="155" t="s">
        <v>6</v>
      </c>
      <c r="BD82" s="99" t="str">
        <f t="shared" si="167"/>
        <v>Schweiz</v>
      </c>
      <c r="BE82" s="102">
        <f>IF(G82='Resultat &amp; tabell'!$G82,2,0)</f>
        <v>2</v>
      </c>
      <c r="BF82" s="49" t="s">
        <v>6</v>
      </c>
      <c r="BG82" s="102">
        <f>IF(I82='Resultat &amp; tabell'!$I82,2,0)</f>
        <v>2</v>
      </c>
      <c r="BH82" s="102">
        <f>IF(J82='Resultat &amp; tabell'!$J82,3,0)</f>
        <v>3</v>
      </c>
      <c r="BI82" s="103">
        <f t="shared" si="168"/>
        <v>7</v>
      </c>
      <c r="BK82" s="82"/>
      <c r="BL82" s="45" t="str">
        <f t="shared" si="169"/>
        <v>Tyskland</v>
      </c>
      <c r="BM82" s="45" t="str">
        <f>'Resultat &amp; tabell'!D82</f>
        <v>Tyskland</v>
      </c>
      <c r="BN82" s="146" t="str">
        <f t="shared" si="170"/>
        <v>Tyskland</v>
      </c>
      <c r="BO82" s="157" t="str">
        <f t="shared" si="173"/>
        <v>Tyskland</v>
      </c>
      <c r="BP82" s="82">
        <f t="shared" si="171"/>
        <v>2</v>
      </c>
    </row>
    <row r="83" spans="2:68" ht="14.25" customHeight="1" x14ac:dyDescent="0.25">
      <c r="B83" s="16">
        <v>56</v>
      </c>
      <c r="C83" s="107">
        <v>43284</v>
      </c>
      <c r="D83" s="152" t="str">
        <f>M67</f>
        <v>Polen</v>
      </c>
      <c r="E83" s="153" t="s">
        <v>6</v>
      </c>
      <c r="F83" s="154" t="str">
        <f>M59</f>
        <v>Panama</v>
      </c>
      <c r="G83" s="63"/>
      <c r="H83" s="94" t="s">
        <v>6</v>
      </c>
      <c r="I83" s="63"/>
      <c r="J83" s="65" t="str">
        <f t="shared" si="165"/>
        <v/>
      </c>
      <c r="K83" s="64">
        <f>IF('Resultat &amp; tabell'!J83="",0,BI83)</f>
        <v>0</v>
      </c>
      <c r="M83" s="66"/>
      <c r="N83" s="67" t="str">
        <f t="shared" si="172"/>
        <v/>
      </c>
      <c r="O83" s="40"/>
      <c r="P83" s="41"/>
      <c r="Q83" s="2"/>
      <c r="R83" s="2"/>
      <c r="S83" s="5"/>
      <c r="W83" s="23"/>
      <c r="X83" s="145"/>
      <c r="Z83" s="5"/>
      <c r="AA83" s="96" t="s">
        <v>25</v>
      </c>
      <c r="AD83" s="96"/>
      <c r="AE83" s="95" t="s">
        <v>26</v>
      </c>
      <c r="AF83" s="76"/>
      <c r="AH83" s="77"/>
      <c r="AZ83" s="97">
        <v>56</v>
      </c>
      <c r="BA83" s="108">
        <v>41821</v>
      </c>
      <c r="BB83" s="99" t="str">
        <f t="shared" si="166"/>
        <v>Polen</v>
      </c>
      <c r="BC83" s="155" t="s">
        <v>6</v>
      </c>
      <c r="BD83" s="99" t="str">
        <f t="shared" si="167"/>
        <v>Panama</v>
      </c>
      <c r="BE83" s="102">
        <f>IF(G83='Resultat &amp; tabell'!$G83,2,0)</f>
        <v>2</v>
      </c>
      <c r="BF83" s="65" t="s">
        <v>6</v>
      </c>
      <c r="BG83" s="102">
        <f>IF(I83='Resultat &amp; tabell'!$I83,2,0)</f>
        <v>2</v>
      </c>
      <c r="BH83" s="102">
        <f>IF(J83='Resultat &amp; tabell'!$J83,3,0)</f>
        <v>3</v>
      </c>
      <c r="BI83" s="103">
        <f t="shared" si="168"/>
        <v>7</v>
      </c>
      <c r="BK83" s="82"/>
      <c r="BL83" s="45" t="str">
        <f t="shared" si="169"/>
        <v>Polen</v>
      </c>
      <c r="BM83" s="45" t="str">
        <f>'Resultat &amp; tabell'!D83</f>
        <v>Polen</v>
      </c>
      <c r="BN83" s="146" t="str">
        <f t="shared" si="170"/>
        <v>Polen</v>
      </c>
      <c r="BO83" s="157" t="str">
        <f t="shared" si="173"/>
        <v>Polen</v>
      </c>
      <c r="BP83" s="82">
        <f t="shared" si="171"/>
        <v>2</v>
      </c>
    </row>
    <row r="84" spans="2:68" ht="14.25" customHeight="1" x14ac:dyDescent="0.25">
      <c r="B84" s="4"/>
      <c r="C84" s="162"/>
      <c r="D84" s="4"/>
      <c r="E84" s="4"/>
      <c r="F84" s="4"/>
      <c r="G84" s="32"/>
      <c r="H84" s="32"/>
      <c r="I84" s="32"/>
      <c r="J84" s="24"/>
      <c r="K84" s="24"/>
      <c r="M84" s="42"/>
      <c r="N84" s="42"/>
      <c r="O84" s="40"/>
      <c r="P84" s="41"/>
      <c r="Q84" s="2"/>
      <c r="R84" s="2"/>
      <c r="S84" s="5"/>
      <c r="W84" s="23"/>
      <c r="X84" s="145"/>
      <c r="Z84" s="5"/>
      <c r="AD84" s="96"/>
      <c r="AE84" s="95"/>
      <c r="AF84" s="76"/>
      <c r="AH84" s="77"/>
      <c r="AZ84" s="83"/>
      <c r="BA84" s="163"/>
      <c r="BB84" s="83"/>
      <c r="BC84" s="83"/>
      <c r="BD84" s="83"/>
      <c r="BE84" s="49"/>
      <c r="BF84" s="49"/>
      <c r="BG84" s="49"/>
      <c r="BH84" s="49"/>
      <c r="BI84" s="119"/>
      <c r="BK84" s="82"/>
      <c r="BL84" s="45" t="str">
        <f t="shared" ref="BL84:BL91" si="174">BD76</f>
        <v>Island</v>
      </c>
      <c r="BM84" s="45" t="str">
        <f>'Resultat &amp; tabell'!F76</f>
        <v>Island</v>
      </c>
      <c r="BN84" s="146" t="str">
        <f t="shared" si="170"/>
        <v>Island</v>
      </c>
      <c r="BO84" s="157" t="str">
        <f t="shared" si="173"/>
        <v>Island</v>
      </c>
      <c r="BP84" s="82">
        <f t="shared" si="171"/>
        <v>2</v>
      </c>
    </row>
    <row r="85" spans="2:68" ht="14.25" customHeight="1" x14ac:dyDescent="0.25">
      <c r="B85" s="72" t="s">
        <v>29</v>
      </c>
      <c r="C85" s="38"/>
      <c r="D85" s="5"/>
      <c r="J85" s="24"/>
      <c r="K85" s="24"/>
      <c r="M85" s="42"/>
      <c r="N85" s="42"/>
      <c r="O85" s="40"/>
      <c r="P85" s="41"/>
      <c r="Q85" s="2"/>
      <c r="R85" s="2"/>
      <c r="S85" s="5"/>
      <c r="W85" s="23"/>
      <c r="X85" s="145"/>
      <c r="Z85" s="5"/>
      <c r="AA85" s="77"/>
      <c r="AD85" s="96"/>
      <c r="AE85" s="95"/>
      <c r="AF85" s="76"/>
      <c r="AH85" s="77"/>
      <c r="AZ85" s="79" t="s">
        <v>29</v>
      </c>
      <c r="BA85" s="41"/>
      <c r="BB85" s="82"/>
      <c r="BI85" s="119"/>
      <c r="BK85" s="82"/>
      <c r="BL85" s="45" t="str">
        <f t="shared" si="174"/>
        <v>Spanien</v>
      </c>
      <c r="BM85" s="45" t="str">
        <f>'Resultat &amp; tabell'!F77</f>
        <v>Spanien</v>
      </c>
      <c r="BN85" s="146" t="str">
        <f t="shared" si="170"/>
        <v>Spanien</v>
      </c>
      <c r="BO85" s="157" t="str">
        <f t="shared" si="173"/>
        <v>Spanien</v>
      </c>
      <c r="BP85" s="82">
        <f t="shared" si="171"/>
        <v>2</v>
      </c>
    </row>
    <row r="86" spans="2:68" ht="14.25" customHeight="1" x14ac:dyDescent="0.25">
      <c r="B86" s="137" t="s">
        <v>2</v>
      </c>
      <c r="C86" s="129" t="s">
        <v>3</v>
      </c>
      <c r="D86" s="187" t="s">
        <v>2</v>
      </c>
      <c r="E86" s="188"/>
      <c r="F86" s="189"/>
      <c r="G86" s="188" t="s">
        <v>4</v>
      </c>
      <c r="H86" s="188"/>
      <c r="I86" s="188"/>
      <c r="J86" s="28" t="s">
        <v>81</v>
      </c>
      <c r="K86" s="7" t="s">
        <v>89</v>
      </c>
      <c r="M86" s="43" t="s">
        <v>124</v>
      </c>
      <c r="N86" s="43"/>
      <c r="O86" s="40"/>
      <c r="P86" s="195" t="s">
        <v>145</v>
      </c>
      <c r="Q86" s="191"/>
      <c r="R86" s="191"/>
      <c r="S86" s="196"/>
      <c r="W86" s="23"/>
      <c r="X86" s="145"/>
      <c r="Z86" s="5"/>
      <c r="AA86" s="124" t="s">
        <v>2</v>
      </c>
      <c r="AB86" s="124"/>
      <c r="AC86" s="124"/>
      <c r="AD86" s="124"/>
      <c r="AE86" s="124"/>
      <c r="AF86" s="76"/>
      <c r="AH86" s="77"/>
      <c r="AZ86" s="139" t="s">
        <v>2</v>
      </c>
      <c r="BA86" s="131" t="s">
        <v>3</v>
      </c>
      <c r="BB86" s="143" t="s">
        <v>2</v>
      </c>
      <c r="BC86" s="69"/>
      <c r="BD86" s="144"/>
      <c r="BE86" s="69" t="s">
        <v>4</v>
      </c>
      <c r="BF86" s="69"/>
      <c r="BG86" s="69"/>
      <c r="BH86" s="69" t="s">
        <v>81</v>
      </c>
      <c r="BI86" s="28" t="s">
        <v>89</v>
      </c>
      <c r="BK86" s="82"/>
      <c r="BL86" s="45" t="str">
        <f t="shared" si="174"/>
        <v>Saudiarabien</v>
      </c>
      <c r="BM86" s="45" t="str">
        <f>'Resultat &amp; tabell'!F78</f>
        <v>Saudiarabien</v>
      </c>
      <c r="BN86" s="146" t="str">
        <f t="shared" si="170"/>
        <v>Saudiarabien</v>
      </c>
      <c r="BO86" s="157" t="str">
        <f t="shared" si="173"/>
        <v>Saudiarabien</v>
      </c>
      <c r="BP86" s="82">
        <f t="shared" si="171"/>
        <v>2</v>
      </c>
    </row>
    <row r="87" spans="2:68" ht="14.25" customHeight="1" x14ac:dyDescent="0.25">
      <c r="B87" s="16">
        <v>57</v>
      </c>
      <c r="C87" s="107">
        <v>43287</v>
      </c>
      <c r="D87" s="152" t="str">
        <f>IF(M77="","Vinnare match 49",M77)</f>
        <v>Vinnare match 49</v>
      </c>
      <c r="E87" s="153" t="s">
        <v>6</v>
      </c>
      <c r="F87" s="154" t="str">
        <f>IF(M76="","Vinnare match 50",M76)</f>
        <v>Vinnare match 50</v>
      </c>
      <c r="G87" s="63"/>
      <c r="H87" s="94" t="s">
        <v>6</v>
      </c>
      <c r="I87" s="63"/>
      <c r="J87" s="65" t="str">
        <f t="shared" ref="J87:J90" si="175">IF(OR(ISBLANK(G87),ISBLANK(I87)),"",IF(G87&gt;I87,1,IF(G87&lt;I87,2,"X")))</f>
        <v/>
      </c>
      <c r="K87" s="64">
        <f>IF('Resultat &amp; tabell'!J87="",0,BI87)</f>
        <v>0</v>
      </c>
      <c r="M87" s="66"/>
      <c r="N87" s="67" t="str">
        <f>IF(OR(ISBLANK(D87),ISBLANK(F87),J87="",M87=""),"",IF(OR(AND(J87=1,M87=D87),AND(J87=2,M87=F87),AND(J87="X",OR(M87=D87,M87=F87))),"","Ej OK"))</f>
        <v/>
      </c>
      <c r="O87" s="40"/>
      <c r="P87" s="207">
        <f>BP103</f>
        <v>0</v>
      </c>
      <c r="Q87" s="208"/>
      <c r="R87" s="208"/>
      <c r="S87" s="209"/>
      <c r="W87" s="23"/>
      <c r="X87" s="145"/>
      <c r="Z87" s="5"/>
      <c r="AA87" s="96" t="s">
        <v>32</v>
      </c>
      <c r="AD87" s="96"/>
      <c r="AE87" s="95" t="s">
        <v>33</v>
      </c>
      <c r="AF87" s="76"/>
      <c r="AH87" s="77"/>
      <c r="AZ87" s="97">
        <v>57</v>
      </c>
      <c r="BA87" s="108">
        <v>41824</v>
      </c>
      <c r="BB87" s="99" t="str">
        <f>D87</f>
        <v>Vinnare match 49</v>
      </c>
      <c r="BC87" s="155" t="s">
        <v>6</v>
      </c>
      <c r="BD87" s="99" t="str">
        <f>F87</f>
        <v>Vinnare match 50</v>
      </c>
      <c r="BE87" s="102">
        <f>IF(G87='Resultat &amp; tabell'!$G87,2,0)</f>
        <v>2</v>
      </c>
      <c r="BF87" s="65" t="s">
        <v>6</v>
      </c>
      <c r="BG87" s="102">
        <f>IF(I87='Resultat &amp; tabell'!$I87,2,0)</f>
        <v>2</v>
      </c>
      <c r="BH87" s="102">
        <f>IF(J87='Resultat &amp; tabell'!$J87,3,0)</f>
        <v>3</v>
      </c>
      <c r="BI87" s="103">
        <f t="shared" ref="BI87:BI90" si="176">SUM(BE87+BG87+BH87)</f>
        <v>7</v>
      </c>
      <c r="BK87" s="82"/>
      <c r="BL87" s="45" t="str">
        <f t="shared" si="174"/>
        <v>Australien</v>
      </c>
      <c r="BM87" s="45" t="str">
        <f>'Resultat &amp; tabell'!F79</f>
        <v>Australien</v>
      </c>
      <c r="BN87" s="146" t="str">
        <f t="shared" si="170"/>
        <v>Australien</v>
      </c>
      <c r="BO87" s="157" t="str">
        <f t="shared" si="173"/>
        <v>Australien</v>
      </c>
      <c r="BP87" s="82">
        <f t="shared" si="171"/>
        <v>2</v>
      </c>
    </row>
    <row r="88" spans="2:68" ht="14.25" customHeight="1" x14ac:dyDescent="0.25">
      <c r="B88" s="16">
        <v>58</v>
      </c>
      <c r="C88" s="107">
        <v>43287</v>
      </c>
      <c r="D88" s="152" t="str">
        <f>IF(M80="","Vinnare match 53",M80)</f>
        <v>Vinnare match 53</v>
      </c>
      <c r="E88" s="153" t="s">
        <v>6</v>
      </c>
      <c r="F88" s="154" t="str">
        <f>IF(M81="","Vinnare match 54",M81)</f>
        <v>Vinnare match 54</v>
      </c>
      <c r="G88" s="63"/>
      <c r="H88" s="94" t="s">
        <v>6</v>
      </c>
      <c r="I88" s="63"/>
      <c r="J88" s="65" t="str">
        <f t="shared" si="175"/>
        <v/>
      </c>
      <c r="K88" s="64">
        <f>IF('Resultat &amp; tabell'!J88="",0,BI88)</f>
        <v>0</v>
      </c>
      <c r="M88" s="66"/>
      <c r="N88" s="67" t="str">
        <f t="shared" ref="N88:N90" si="177">IF(OR(ISBLANK(D88),ISBLANK(F88),J88="",M88=""),"",IF(OR(AND(J88=1,M88=D88),AND(J88=2,M88=F88),AND(J88="X",OR(M88=D88,M88=F88))),"","Ej OK"))</f>
        <v/>
      </c>
      <c r="O88" s="40"/>
      <c r="P88" s="44"/>
      <c r="Q88" s="2"/>
      <c r="R88" s="2"/>
      <c r="S88" s="5"/>
      <c r="W88" s="23"/>
      <c r="X88" s="145"/>
      <c r="Z88" s="5"/>
      <c r="AA88" s="96" t="s">
        <v>34</v>
      </c>
      <c r="AD88" s="96"/>
      <c r="AE88" s="95" t="s">
        <v>35</v>
      </c>
      <c r="AF88" s="76"/>
      <c r="AH88" s="77"/>
      <c r="AZ88" s="97">
        <v>58</v>
      </c>
      <c r="BA88" s="108">
        <v>41824</v>
      </c>
      <c r="BB88" s="99" t="str">
        <f>D88</f>
        <v>Vinnare match 53</v>
      </c>
      <c r="BC88" s="155" t="s">
        <v>6</v>
      </c>
      <c r="BD88" s="99" t="str">
        <f>F88</f>
        <v>Vinnare match 54</v>
      </c>
      <c r="BE88" s="102">
        <f>IF(G88='Resultat &amp; tabell'!$G88,2,0)</f>
        <v>2</v>
      </c>
      <c r="BF88" s="65" t="s">
        <v>6</v>
      </c>
      <c r="BG88" s="102">
        <f>IF(I88='Resultat &amp; tabell'!$I88,2,0)</f>
        <v>2</v>
      </c>
      <c r="BH88" s="102">
        <f>IF(J88='Resultat &amp; tabell'!$J88,3,0)</f>
        <v>3</v>
      </c>
      <c r="BI88" s="103">
        <f t="shared" si="176"/>
        <v>7</v>
      </c>
      <c r="BK88" s="82"/>
      <c r="BL88" s="45" t="str">
        <f t="shared" si="174"/>
        <v>Mexico</v>
      </c>
      <c r="BM88" s="45" t="str">
        <f>'Resultat &amp; tabell'!F80</f>
        <v>Mexico</v>
      </c>
      <c r="BN88" s="146" t="str">
        <f t="shared" si="170"/>
        <v>Mexico</v>
      </c>
      <c r="BO88" s="157" t="str">
        <f t="shared" si="173"/>
        <v>Mexico</v>
      </c>
      <c r="BP88" s="82">
        <f t="shared" si="171"/>
        <v>2</v>
      </c>
    </row>
    <row r="89" spans="2:68" ht="14.25" customHeight="1" x14ac:dyDescent="0.25">
      <c r="B89" s="16">
        <v>59</v>
      </c>
      <c r="C89" s="107">
        <v>43288</v>
      </c>
      <c r="D89" s="152" t="str">
        <f>IF(M78="","Vinnare match 51",M78)</f>
        <v>Vinnare match 51</v>
      </c>
      <c r="E89" s="153" t="s">
        <v>6</v>
      </c>
      <c r="F89" s="154" t="str">
        <f>IF(M79="","Vinnare match 52",M79)</f>
        <v>Vinnare match 52</v>
      </c>
      <c r="G89" s="63"/>
      <c r="H89" s="94" t="s">
        <v>6</v>
      </c>
      <c r="I89" s="63"/>
      <c r="J89" s="65" t="str">
        <f t="shared" si="175"/>
        <v/>
      </c>
      <c r="K89" s="64">
        <f>IF('Resultat &amp; tabell'!J89="",0,BI89)</f>
        <v>0</v>
      </c>
      <c r="M89" s="66"/>
      <c r="N89" s="67" t="str">
        <f t="shared" si="177"/>
        <v/>
      </c>
      <c r="O89" s="40"/>
      <c r="P89" s="44"/>
      <c r="Q89" s="2"/>
      <c r="R89" s="2"/>
      <c r="S89" s="5"/>
      <c r="W89" s="23"/>
      <c r="X89" s="145"/>
      <c r="Z89" s="5"/>
      <c r="AA89" s="96" t="s">
        <v>36</v>
      </c>
      <c r="AD89" s="96"/>
      <c r="AE89" s="95" t="s">
        <v>37</v>
      </c>
      <c r="AF89" s="76"/>
      <c r="AH89" s="77"/>
      <c r="AZ89" s="97">
        <v>59</v>
      </c>
      <c r="BA89" s="108">
        <v>41825</v>
      </c>
      <c r="BB89" s="99" t="str">
        <f>D89</f>
        <v>Vinnare match 51</v>
      </c>
      <c r="BC89" s="155" t="s">
        <v>6</v>
      </c>
      <c r="BD89" s="99" t="str">
        <f>F89</f>
        <v>Vinnare match 52</v>
      </c>
      <c r="BE89" s="102">
        <f>IF(G89='Resultat &amp; tabell'!$G89,2,0)</f>
        <v>2</v>
      </c>
      <c r="BF89" s="65" t="s">
        <v>6</v>
      </c>
      <c r="BG89" s="102">
        <f>IF(I89='Resultat &amp; tabell'!$I89,2,0)</f>
        <v>2</v>
      </c>
      <c r="BH89" s="102">
        <f>IF(J89='Resultat &amp; tabell'!$J89,3,0)</f>
        <v>3</v>
      </c>
      <c r="BI89" s="103">
        <f t="shared" si="176"/>
        <v>7</v>
      </c>
      <c r="BK89" s="82"/>
      <c r="BL89" s="45" t="str">
        <f t="shared" si="174"/>
        <v>Senegal</v>
      </c>
      <c r="BM89" s="45" t="str">
        <f>'Resultat &amp; tabell'!F81</f>
        <v>Senegal</v>
      </c>
      <c r="BN89" s="146" t="str">
        <f t="shared" si="170"/>
        <v>Senegal</v>
      </c>
      <c r="BO89" s="157" t="str">
        <f t="shared" si="173"/>
        <v>Senegal</v>
      </c>
      <c r="BP89" s="82">
        <f t="shared" si="171"/>
        <v>2</v>
      </c>
    </row>
    <row r="90" spans="2:68" ht="14.25" customHeight="1" x14ac:dyDescent="0.25">
      <c r="B90" s="16">
        <v>60</v>
      </c>
      <c r="C90" s="107">
        <v>43288</v>
      </c>
      <c r="D90" s="152" t="str">
        <f>IF(M82="","Vinnare match 55",M82)</f>
        <v>Vinnare match 55</v>
      </c>
      <c r="E90" s="153" t="s">
        <v>6</v>
      </c>
      <c r="F90" s="154" t="str">
        <f>IF(M83="","Vinnare match 56",M83)</f>
        <v>Vinnare match 56</v>
      </c>
      <c r="G90" s="63"/>
      <c r="H90" s="94" t="s">
        <v>6</v>
      </c>
      <c r="I90" s="63"/>
      <c r="J90" s="65" t="str">
        <f t="shared" si="175"/>
        <v/>
      </c>
      <c r="K90" s="64">
        <f>IF('Resultat &amp; tabell'!J90="",0,BI90)</f>
        <v>0</v>
      </c>
      <c r="M90" s="66"/>
      <c r="N90" s="67" t="str">
        <f t="shared" si="177"/>
        <v/>
      </c>
      <c r="O90" s="40"/>
      <c r="P90" s="44"/>
      <c r="Q90" s="2"/>
      <c r="R90" s="2"/>
      <c r="S90" s="5"/>
      <c r="W90" s="23"/>
      <c r="X90" s="145"/>
      <c r="Z90" s="5"/>
      <c r="AA90" s="96" t="s">
        <v>38</v>
      </c>
      <c r="AD90" s="96"/>
      <c r="AE90" s="95" t="s">
        <v>39</v>
      </c>
      <c r="AF90" s="76"/>
      <c r="AH90" s="77"/>
      <c r="AZ90" s="97">
        <v>60</v>
      </c>
      <c r="BA90" s="108">
        <v>41825</v>
      </c>
      <c r="BB90" s="99" t="str">
        <f>D90</f>
        <v>Vinnare match 55</v>
      </c>
      <c r="BC90" s="155" t="s">
        <v>6</v>
      </c>
      <c r="BD90" s="99" t="str">
        <f>F90</f>
        <v>Vinnare match 56</v>
      </c>
      <c r="BE90" s="102">
        <f>IF(G90='Resultat &amp; tabell'!$G90,2,0)</f>
        <v>2</v>
      </c>
      <c r="BF90" s="65" t="s">
        <v>6</v>
      </c>
      <c r="BG90" s="102">
        <f>IF(I90='Resultat &amp; tabell'!$I90,2,0)</f>
        <v>2</v>
      </c>
      <c r="BH90" s="102">
        <f>IF(J90='Resultat &amp; tabell'!$J90,3,0)</f>
        <v>3</v>
      </c>
      <c r="BI90" s="103">
        <f t="shared" si="176"/>
        <v>7</v>
      </c>
      <c r="BK90" s="82"/>
      <c r="BL90" s="45" t="str">
        <f t="shared" si="174"/>
        <v>Schweiz</v>
      </c>
      <c r="BM90" s="45" t="str">
        <f>'Resultat &amp; tabell'!F82</f>
        <v>Schweiz</v>
      </c>
      <c r="BN90" s="146" t="str">
        <f t="shared" si="170"/>
        <v>Schweiz</v>
      </c>
      <c r="BO90" s="157" t="str">
        <f t="shared" si="173"/>
        <v>Schweiz</v>
      </c>
      <c r="BP90" s="82">
        <f t="shared" si="171"/>
        <v>2</v>
      </c>
    </row>
    <row r="91" spans="2:68" ht="14.25" customHeight="1" x14ac:dyDescent="0.25">
      <c r="B91" s="37"/>
      <c r="C91" s="38"/>
      <c r="D91" s="5"/>
      <c r="J91" s="24"/>
      <c r="K91" s="24"/>
      <c r="M91" s="42"/>
      <c r="N91" s="42"/>
      <c r="O91" s="40"/>
      <c r="P91" s="44"/>
      <c r="Q91" s="2"/>
      <c r="R91" s="2"/>
      <c r="S91" s="5"/>
      <c r="W91" s="23"/>
      <c r="X91" s="145"/>
      <c r="Z91" s="5"/>
      <c r="AA91" s="77"/>
      <c r="AD91" s="96"/>
      <c r="AE91" s="95"/>
      <c r="AF91" s="76"/>
      <c r="AH91" s="77"/>
      <c r="AZ91" s="42"/>
      <c r="BA91" s="41"/>
      <c r="BB91" s="82"/>
      <c r="BI91" s="119"/>
      <c r="BK91" s="82"/>
      <c r="BL91" s="45" t="str">
        <f t="shared" si="174"/>
        <v>Panama</v>
      </c>
      <c r="BM91" s="45" t="str">
        <f>'Resultat &amp; tabell'!F83</f>
        <v>Panama</v>
      </c>
      <c r="BN91" s="146" t="str">
        <f t="shared" si="170"/>
        <v>Panama</v>
      </c>
      <c r="BO91" s="157" t="str">
        <f t="shared" si="173"/>
        <v>Panama</v>
      </c>
      <c r="BP91" s="82">
        <f t="shared" si="171"/>
        <v>2</v>
      </c>
    </row>
    <row r="92" spans="2:68" ht="14.25" customHeight="1" x14ac:dyDescent="0.25">
      <c r="B92" s="72" t="s">
        <v>41</v>
      </c>
      <c r="C92" s="38"/>
      <c r="D92" s="5"/>
      <c r="J92" s="24"/>
      <c r="K92" s="24"/>
      <c r="M92" s="42"/>
      <c r="N92" s="42"/>
      <c r="O92" s="40"/>
      <c r="P92" s="44"/>
      <c r="Q92" s="2"/>
      <c r="R92" s="2"/>
      <c r="S92" s="5"/>
      <c r="W92" s="23"/>
      <c r="X92" s="145"/>
      <c r="Z92" s="5"/>
      <c r="AA92" s="77"/>
      <c r="AD92" s="96"/>
      <c r="AE92" s="95"/>
      <c r="AF92" s="76"/>
      <c r="AH92" s="77"/>
      <c r="AZ92" s="79" t="s">
        <v>41</v>
      </c>
      <c r="BA92" s="41"/>
      <c r="BB92" s="82"/>
      <c r="BI92" s="119"/>
      <c r="BK92" s="82"/>
      <c r="BM92" s="45"/>
      <c r="BN92" s="146"/>
      <c r="BO92" s="6" t="s">
        <v>107</v>
      </c>
      <c r="BP92" s="127">
        <f>IF(COUNTIFS('Resultat &amp; tabell'!J3:J72,"")=14,SUM(BP76:BP91),0)</f>
        <v>0</v>
      </c>
    </row>
    <row r="93" spans="2:68" ht="14.25" customHeight="1" x14ac:dyDescent="0.25">
      <c r="B93" s="137" t="s">
        <v>2</v>
      </c>
      <c r="C93" s="129" t="s">
        <v>3</v>
      </c>
      <c r="D93" s="187" t="s">
        <v>2</v>
      </c>
      <c r="E93" s="188"/>
      <c r="F93" s="189"/>
      <c r="G93" s="188" t="s">
        <v>4</v>
      </c>
      <c r="H93" s="188"/>
      <c r="I93" s="188"/>
      <c r="J93" s="28" t="s">
        <v>81</v>
      </c>
      <c r="K93" s="7" t="s">
        <v>89</v>
      </c>
      <c r="M93" s="43" t="s">
        <v>123</v>
      </c>
      <c r="N93" s="43"/>
      <c r="O93" s="40" t="s">
        <v>100</v>
      </c>
      <c r="P93" s="195" t="s">
        <v>146</v>
      </c>
      <c r="Q93" s="191"/>
      <c r="R93" s="191"/>
      <c r="S93" s="196"/>
      <c r="W93" s="23"/>
      <c r="X93" s="145"/>
      <c r="Z93" s="5"/>
      <c r="AA93" s="124" t="s">
        <v>2</v>
      </c>
      <c r="AB93" s="124"/>
      <c r="AC93" s="124"/>
      <c r="AD93" s="124"/>
      <c r="AE93" s="124"/>
      <c r="AF93" s="76"/>
      <c r="AH93" s="77"/>
      <c r="AZ93" s="139" t="s">
        <v>2</v>
      </c>
      <c r="BA93" s="131" t="s">
        <v>3</v>
      </c>
      <c r="BB93" s="143" t="s">
        <v>2</v>
      </c>
      <c r="BC93" s="69"/>
      <c r="BD93" s="144"/>
      <c r="BE93" s="69" t="s">
        <v>4</v>
      </c>
      <c r="BF93" s="69"/>
      <c r="BG93" s="69"/>
      <c r="BH93" s="69" t="s">
        <v>81</v>
      </c>
      <c r="BI93" s="28" t="s">
        <v>89</v>
      </c>
      <c r="BK93" s="82"/>
      <c r="BL93" s="147" t="s">
        <v>29</v>
      </c>
      <c r="BM93" s="148"/>
      <c r="BN93" s="149"/>
      <c r="BO93" s="150"/>
      <c r="BP93" s="150"/>
    </row>
    <row r="94" spans="2:68" ht="14.25" customHeight="1" x14ac:dyDescent="0.25">
      <c r="B94" s="16">
        <v>61</v>
      </c>
      <c r="C94" s="107">
        <v>43291</v>
      </c>
      <c r="D94" s="152" t="str">
        <f>IF(M87="","Vinnare match 57",M87)</f>
        <v>Vinnare match 57</v>
      </c>
      <c r="E94" s="153" t="s">
        <v>6</v>
      </c>
      <c r="F94" s="154" t="str">
        <f>IF(M88="","Vinnare match 58",M88)</f>
        <v>Vinnare match 58</v>
      </c>
      <c r="G94" s="63"/>
      <c r="H94" s="94" t="s">
        <v>6</v>
      </c>
      <c r="I94" s="63"/>
      <c r="J94" s="65" t="str">
        <f t="shared" ref="J94:J95" si="178">IF(OR(ISBLANK(G94),ISBLANK(I94)),"",IF(G94&gt;I94,1,IF(G94&lt;I94,2,"X")))</f>
        <v/>
      </c>
      <c r="K94" s="64">
        <f>IF('Resultat &amp; tabell'!J94="",0,BI94)</f>
        <v>0</v>
      </c>
      <c r="M94" s="66"/>
      <c r="N94" s="67" t="str">
        <f>IF(OR(ISBLANK(D94),ISBLANK(F94),J94="",M94=""),"",IF(OR(AND(J94=1,M94=D94),AND(J94=2,M94=F94),AND(J94="X",OR(M94=D94,M94=F94))),"","Ej OK"))</f>
        <v/>
      </c>
      <c r="O94" s="37"/>
      <c r="P94" s="207">
        <f>BP110</f>
        <v>0</v>
      </c>
      <c r="Q94" s="208"/>
      <c r="R94" s="208"/>
      <c r="S94" s="209"/>
      <c r="T94" s="40" t="str">
        <f>IF(M94=D94,F94,D94)</f>
        <v>Vinnare match 57</v>
      </c>
      <c r="W94" s="23"/>
      <c r="X94" s="145"/>
      <c r="Z94" s="5"/>
      <c r="AA94" s="96" t="s">
        <v>44</v>
      </c>
      <c r="AD94" s="96"/>
      <c r="AE94" s="95" t="s">
        <v>45</v>
      </c>
      <c r="AF94" s="76"/>
      <c r="AH94" s="77"/>
      <c r="AZ94" s="97">
        <v>61</v>
      </c>
      <c r="BA94" s="108">
        <v>41828.708333333336</v>
      </c>
      <c r="BB94" s="99" t="str">
        <f>D94</f>
        <v>Vinnare match 57</v>
      </c>
      <c r="BC94" s="155" t="s">
        <v>6</v>
      </c>
      <c r="BD94" s="99" t="str">
        <f>F94</f>
        <v>Vinnare match 58</v>
      </c>
      <c r="BE94" s="102">
        <f>IF(G94='Resultat &amp; tabell'!$G94,2,0)</f>
        <v>2</v>
      </c>
      <c r="BF94" s="65" t="s">
        <v>6</v>
      </c>
      <c r="BG94" s="102">
        <f>IF(I94='Resultat &amp; tabell'!$I94,2,0)</f>
        <v>2</v>
      </c>
      <c r="BH94" s="102">
        <f>IF(J94='Resultat &amp; tabell'!$J94,3,0)</f>
        <v>3</v>
      </c>
      <c r="BI94" s="103">
        <f t="shared" ref="BI94:BI95" si="179">SUM(BE94+BG94+BH94)</f>
        <v>7</v>
      </c>
      <c r="BK94" s="82"/>
      <c r="BL94" s="1" t="s">
        <v>104</v>
      </c>
      <c r="BM94" s="78" t="s">
        <v>103</v>
      </c>
      <c r="BN94" s="78" t="s">
        <v>105</v>
      </c>
      <c r="BO94" s="78" t="s">
        <v>106</v>
      </c>
      <c r="BP94" s="78" t="s">
        <v>89</v>
      </c>
    </row>
    <row r="95" spans="2:68" ht="14.25" customHeight="1" x14ac:dyDescent="0.25">
      <c r="B95" s="16">
        <v>62</v>
      </c>
      <c r="C95" s="107">
        <v>43292</v>
      </c>
      <c r="D95" s="152" t="str">
        <f>IF(M89="","Vinnare match 59",M89)</f>
        <v>Vinnare match 59</v>
      </c>
      <c r="E95" s="153" t="s">
        <v>6</v>
      </c>
      <c r="F95" s="154" t="str">
        <f>IF(M90="","Vinnare match 60",M90)</f>
        <v>Vinnare match 60</v>
      </c>
      <c r="G95" s="63"/>
      <c r="H95" s="94" t="s">
        <v>6</v>
      </c>
      <c r="I95" s="63"/>
      <c r="J95" s="65" t="str">
        <f t="shared" si="178"/>
        <v/>
      </c>
      <c r="K95" s="64">
        <f>IF('Resultat &amp; tabell'!J95="",0,BI95)</f>
        <v>0</v>
      </c>
      <c r="M95" s="66"/>
      <c r="N95" s="67" t="str">
        <f>IF(OR(ISBLANK(D95),ISBLANK(F95),J95="",M95=""),"",IF(OR(AND(J95=1,M95=D95),AND(J95=2,M95=F95),AND(J95="X",OR(M95=D95,M95=F95))),"","Ej OK"))</f>
        <v/>
      </c>
      <c r="O95" s="37"/>
      <c r="P95" s="44"/>
      <c r="R95" s="2"/>
      <c r="S95" s="5"/>
      <c r="T95" s="40" t="str">
        <f>IF(M95=D95,F95,D95)</f>
        <v>Vinnare match 59</v>
      </c>
      <c r="W95" s="23"/>
      <c r="X95" s="145"/>
      <c r="Z95" s="5"/>
      <c r="AA95" s="96" t="s">
        <v>48</v>
      </c>
      <c r="AD95" s="96"/>
      <c r="AE95" s="95" t="s">
        <v>49</v>
      </c>
      <c r="AF95" s="76"/>
      <c r="AH95" s="77"/>
      <c r="AZ95" s="97">
        <v>62</v>
      </c>
      <c r="BA95" s="108">
        <v>41829.708333333336</v>
      </c>
      <c r="BB95" s="99" t="str">
        <f>D95</f>
        <v>Vinnare match 59</v>
      </c>
      <c r="BC95" s="155" t="s">
        <v>6</v>
      </c>
      <c r="BD95" s="99" t="str">
        <f>F95</f>
        <v>Vinnare match 60</v>
      </c>
      <c r="BE95" s="102">
        <f>IF(G95='Resultat &amp; tabell'!$G95,2,0)</f>
        <v>2</v>
      </c>
      <c r="BF95" s="65" t="s">
        <v>6</v>
      </c>
      <c r="BG95" s="102">
        <f>IF(I95='Resultat &amp; tabell'!$I95,2,0)</f>
        <v>2</v>
      </c>
      <c r="BH95" s="102">
        <f>IF(J95='Resultat &amp; tabell'!$J95,3,0)</f>
        <v>3</v>
      </c>
      <c r="BI95" s="103">
        <f t="shared" si="179"/>
        <v>7</v>
      </c>
      <c r="BK95" s="82"/>
      <c r="BL95" s="45" t="str">
        <f>D87</f>
        <v>Vinnare match 49</v>
      </c>
      <c r="BM95" s="45" t="str">
        <f>'Resultat &amp; tabell'!D87</f>
        <v>Vinnare match 49</v>
      </c>
      <c r="BN95" s="146" t="str">
        <f t="shared" ref="BN95:BN102" si="180">VLOOKUP(BL95,$BM$95:$BM$102,1,FALSE)</f>
        <v>Vinnare match 49</v>
      </c>
      <c r="BO95" s="157" t="str">
        <f t="shared" ref="BO95:BO102" si="181">BN95</f>
        <v>Vinnare match 49</v>
      </c>
      <c r="BP95" s="82">
        <f>IFERROR(IF(AND(COUNTIF($J$76:$J$83,"")=0,BN95=BO95),4,0),0)</f>
        <v>0</v>
      </c>
    </row>
    <row r="96" spans="2:68" ht="14.25" customHeight="1" x14ac:dyDescent="0.25">
      <c r="B96" s="37"/>
      <c r="C96" s="38"/>
      <c r="D96" s="5"/>
      <c r="J96" s="24"/>
      <c r="K96" s="24"/>
      <c r="M96" s="42"/>
      <c r="N96" s="42"/>
      <c r="O96" s="40"/>
      <c r="P96" s="44"/>
      <c r="Q96" s="2"/>
      <c r="R96" s="2"/>
      <c r="S96" s="5"/>
      <c r="W96" s="23"/>
      <c r="X96" s="145"/>
      <c r="Z96" s="5"/>
      <c r="AA96" s="77"/>
      <c r="AD96" s="96"/>
      <c r="AE96" s="95"/>
      <c r="AF96" s="76"/>
      <c r="AH96" s="77"/>
      <c r="AZ96" s="42"/>
      <c r="BA96" s="41"/>
      <c r="BB96" s="82"/>
      <c r="BI96" s="119"/>
      <c r="BK96" s="82"/>
      <c r="BL96" s="45" t="str">
        <f>D88</f>
        <v>Vinnare match 53</v>
      </c>
      <c r="BM96" s="45" t="str">
        <f>'Resultat &amp; tabell'!D88</f>
        <v>Vinnare match 53</v>
      </c>
      <c r="BN96" s="146" t="str">
        <f t="shared" si="180"/>
        <v>Vinnare match 53</v>
      </c>
      <c r="BO96" s="157" t="str">
        <f t="shared" si="181"/>
        <v>Vinnare match 53</v>
      </c>
      <c r="BP96" s="82">
        <f t="shared" ref="BP96:BP102" si="182">IFERROR(IF(AND(COUNTIF($J$76:$J$83,"")=0,BN96=BO96),4,0),0)</f>
        <v>0</v>
      </c>
    </row>
    <row r="97" spans="2:68" ht="14.25" customHeight="1" x14ac:dyDescent="0.25">
      <c r="B97" s="72" t="s">
        <v>50</v>
      </c>
      <c r="C97" s="38"/>
      <c r="D97" s="5"/>
      <c r="J97" s="24"/>
      <c r="K97" s="24"/>
      <c r="M97" s="42"/>
      <c r="N97" s="42"/>
      <c r="O97" s="40"/>
      <c r="P97" s="44"/>
      <c r="Q97" s="2"/>
      <c r="R97" s="2"/>
      <c r="S97" s="5"/>
      <c r="W97" s="23"/>
      <c r="X97" s="145"/>
      <c r="Z97" s="5"/>
      <c r="AA97" s="77"/>
      <c r="AD97" s="96"/>
      <c r="AE97" s="95"/>
      <c r="AF97" s="76"/>
      <c r="AH97" s="77"/>
      <c r="AZ97" s="79" t="s">
        <v>50</v>
      </c>
      <c r="BA97" s="41"/>
      <c r="BB97" s="82"/>
      <c r="BI97" s="119"/>
      <c r="BK97" s="82"/>
      <c r="BL97" s="45" t="str">
        <f>D89</f>
        <v>Vinnare match 51</v>
      </c>
      <c r="BM97" s="45" t="str">
        <f>'Resultat &amp; tabell'!D89</f>
        <v>Vinnare match 51</v>
      </c>
      <c r="BN97" s="146" t="str">
        <f t="shared" si="180"/>
        <v>Vinnare match 51</v>
      </c>
      <c r="BO97" s="157" t="str">
        <f t="shared" si="181"/>
        <v>Vinnare match 51</v>
      </c>
      <c r="BP97" s="82">
        <f t="shared" si="182"/>
        <v>0</v>
      </c>
    </row>
    <row r="98" spans="2:68" ht="14.25" customHeight="1" x14ac:dyDescent="0.25">
      <c r="B98" s="137" t="s">
        <v>2</v>
      </c>
      <c r="C98" s="129" t="s">
        <v>3</v>
      </c>
      <c r="D98" s="187" t="s">
        <v>2</v>
      </c>
      <c r="E98" s="188"/>
      <c r="F98" s="188"/>
      <c r="G98" s="193" t="s">
        <v>4</v>
      </c>
      <c r="H98" s="188"/>
      <c r="I98" s="194"/>
      <c r="J98" s="28" t="s">
        <v>81</v>
      </c>
      <c r="K98" s="7" t="s">
        <v>89</v>
      </c>
      <c r="M98" s="43" t="s">
        <v>161</v>
      </c>
      <c r="N98" s="43"/>
      <c r="O98" s="40"/>
      <c r="P98" s="195" t="s">
        <v>147</v>
      </c>
      <c r="Q98" s="191"/>
      <c r="R98" s="191"/>
      <c r="S98" s="196"/>
      <c r="W98" s="23"/>
      <c r="X98" s="145"/>
      <c r="Z98" s="5"/>
      <c r="AA98" s="124" t="s">
        <v>2</v>
      </c>
      <c r="AB98" s="124"/>
      <c r="AC98" s="124"/>
      <c r="AD98" s="124"/>
      <c r="AE98" s="124"/>
      <c r="AF98" s="76"/>
      <c r="AH98" s="77"/>
      <c r="AZ98" s="139" t="s">
        <v>2</v>
      </c>
      <c r="BA98" s="131" t="s">
        <v>3</v>
      </c>
      <c r="BB98" s="143" t="s">
        <v>2</v>
      </c>
      <c r="BC98" s="69"/>
      <c r="BD98" s="69"/>
      <c r="BE98" s="68" t="s">
        <v>4</v>
      </c>
      <c r="BF98" s="69"/>
      <c r="BG98" s="70"/>
      <c r="BH98" s="69" t="s">
        <v>81</v>
      </c>
      <c r="BI98" s="28" t="s">
        <v>89</v>
      </c>
      <c r="BK98" s="82"/>
      <c r="BL98" s="45" t="str">
        <f>D90</f>
        <v>Vinnare match 55</v>
      </c>
      <c r="BM98" s="45" t="str">
        <f>'Resultat &amp; tabell'!D90</f>
        <v>Vinnare match 55</v>
      </c>
      <c r="BN98" s="146" t="str">
        <f t="shared" si="180"/>
        <v>Vinnare match 55</v>
      </c>
      <c r="BO98" s="157" t="str">
        <f t="shared" si="181"/>
        <v>Vinnare match 55</v>
      </c>
      <c r="BP98" s="82">
        <f t="shared" si="182"/>
        <v>0</v>
      </c>
    </row>
    <row r="99" spans="2:68" ht="14.25" customHeight="1" x14ac:dyDescent="0.25">
      <c r="B99" s="16">
        <v>63</v>
      </c>
      <c r="C99" s="107">
        <v>43295</v>
      </c>
      <c r="D99" s="152" t="str">
        <f>IF(M94="","Förlorare match 61",T94)</f>
        <v>Förlorare match 61</v>
      </c>
      <c r="E99" s="153" t="s">
        <v>6</v>
      </c>
      <c r="F99" s="154" t="str">
        <f>IF(M95="","Förlorare match 62",T95)</f>
        <v>Förlorare match 62</v>
      </c>
      <c r="G99" s="63"/>
      <c r="H99" s="94" t="s">
        <v>6</v>
      </c>
      <c r="I99" s="63"/>
      <c r="J99" s="65" t="str">
        <f>IF(OR(ISBLANK(G99),ISBLANK(I99)),"",IF(G99&gt;I99,1,IF(G99&lt;I99,2,"X")))</f>
        <v/>
      </c>
      <c r="K99" s="64">
        <f>IF('Resultat &amp; tabell'!J99="",0,BI99)</f>
        <v>0</v>
      </c>
      <c r="M99" s="66"/>
      <c r="N99" s="67" t="str">
        <f>IF(OR(ISBLANK(D99),ISBLANK(F99),J99="",M99=""),"",IF(OR(AND(J99=1,M99=D99),AND(J99=2,M99=F99),AND(J99="X",OR(M99=D99,M99=F99))),"","Ej OK"))</f>
        <v/>
      </c>
      <c r="O99" s="40"/>
      <c r="P99" s="207">
        <f>BP115</f>
        <v>0</v>
      </c>
      <c r="Q99" s="208"/>
      <c r="R99" s="208"/>
      <c r="S99" s="209"/>
      <c r="W99" s="23"/>
      <c r="X99" s="145"/>
      <c r="Z99" s="5"/>
      <c r="AA99" s="96" t="s">
        <v>51</v>
      </c>
      <c r="AD99" s="96"/>
      <c r="AE99" s="95" t="s">
        <v>52</v>
      </c>
      <c r="AF99" s="76"/>
      <c r="AH99" s="77"/>
      <c r="AZ99" s="97">
        <v>63</v>
      </c>
      <c r="BA99" s="108">
        <v>41832</v>
      </c>
      <c r="BB99" s="99" t="str">
        <f>D99</f>
        <v>Förlorare match 61</v>
      </c>
      <c r="BC99" s="155" t="s">
        <v>6</v>
      </c>
      <c r="BD99" s="99" t="str">
        <f>F99</f>
        <v>Förlorare match 62</v>
      </c>
      <c r="BE99" s="102">
        <f>IF(G99='Resultat &amp; tabell'!$G99,2,0)</f>
        <v>2</v>
      </c>
      <c r="BF99" s="65" t="s">
        <v>6</v>
      </c>
      <c r="BG99" s="102">
        <f>IF(I99='Resultat &amp; tabell'!$I99,2,0)</f>
        <v>2</v>
      </c>
      <c r="BH99" s="102">
        <f>IF(J99='Resultat &amp; tabell'!$J99,3,0)</f>
        <v>3</v>
      </c>
      <c r="BI99" s="103">
        <f>SUM(BE99+BG99+BH99)</f>
        <v>7</v>
      </c>
      <c r="BK99" s="82"/>
      <c r="BL99" s="45" t="str">
        <f>F87</f>
        <v>Vinnare match 50</v>
      </c>
      <c r="BM99" s="45" t="str">
        <f>'Resultat &amp; tabell'!F87</f>
        <v>Vinnare match 50</v>
      </c>
      <c r="BN99" s="146" t="str">
        <f t="shared" si="180"/>
        <v>Vinnare match 50</v>
      </c>
      <c r="BO99" s="157" t="str">
        <f t="shared" si="181"/>
        <v>Vinnare match 50</v>
      </c>
      <c r="BP99" s="82">
        <f t="shared" si="182"/>
        <v>0</v>
      </c>
    </row>
    <row r="100" spans="2:68" ht="14.25" customHeight="1" x14ac:dyDescent="0.25">
      <c r="B100" s="37"/>
      <c r="C100" s="38"/>
      <c r="D100" s="5"/>
      <c r="J100" s="24"/>
      <c r="K100" s="24"/>
      <c r="M100" s="45"/>
      <c r="N100" s="45"/>
      <c r="O100" s="40"/>
      <c r="P100" s="46"/>
      <c r="Q100" s="2"/>
      <c r="R100" s="2"/>
      <c r="S100" s="5"/>
      <c r="W100" s="23"/>
      <c r="X100" s="145"/>
      <c r="Z100" s="5"/>
      <c r="AA100" s="77"/>
      <c r="AD100" s="96"/>
      <c r="AE100" s="95"/>
      <c r="AF100" s="76"/>
      <c r="AH100" s="77"/>
      <c r="AZ100" s="42"/>
      <c r="BA100" s="41"/>
      <c r="BB100" s="82"/>
      <c r="BI100" s="119"/>
      <c r="BK100" s="82"/>
      <c r="BL100" s="45" t="str">
        <f>F88</f>
        <v>Vinnare match 54</v>
      </c>
      <c r="BM100" s="45" t="str">
        <f>'Resultat &amp; tabell'!F88</f>
        <v>Vinnare match 54</v>
      </c>
      <c r="BN100" s="146" t="str">
        <f t="shared" si="180"/>
        <v>Vinnare match 54</v>
      </c>
      <c r="BO100" s="157" t="str">
        <f t="shared" si="181"/>
        <v>Vinnare match 54</v>
      </c>
      <c r="BP100" s="82">
        <f t="shared" si="182"/>
        <v>0</v>
      </c>
    </row>
    <row r="101" spans="2:68" ht="14.25" customHeight="1" x14ac:dyDescent="0.25">
      <c r="B101" s="72" t="s">
        <v>54</v>
      </c>
      <c r="C101" s="120"/>
      <c r="D101" s="26"/>
      <c r="E101" s="27"/>
      <c r="F101" s="72"/>
      <c r="G101" s="27"/>
      <c r="H101" s="27"/>
      <c r="I101" s="27"/>
      <c r="J101" s="24"/>
      <c r="K101" s="24"/>
      <c r="M101" s="45"/>
      <c r="N101" s="45"/>
      <c r="O101" s="40"/>
      <c r="P101" s="44"/>
      <c r="Q101" s="2"/>
      <c r="R101" s="2"/>
      <c r="S101" s="5"/>
      <c r="W101" s="23"/>
      <c r="X101" s="145"/>
      <c r="Z101" s="5"/>
      <c r="AA101" s="124"/>
      <c r="AB101" s="75"/>
      <c r="AC101" s="75"/>
      <c r="AD101" s="75"/>
      <c r="AE101" s="74"/>
      <c r="AF101" s="76"/>
      <c r="AH101" s="77"/>
      <c r="AZ101" s="79" t="s">
        <v>54</v>
      </c>
      <c r="BA101" s="125"/>
      <c r="BB101" s="127"/>
      <c r="BC101" s="80"/>
      <c r="BD101" s="79"/>
      <c r="BE101" s="80"/>
      <c r="BF101" s="80"/>
      <c r="BG101" s="80"/>
      <c r="BH101" s="80"/>
      <c r="BI101" s="119"/>
      <c r="BK101" s="82"/>
      <c r="BL101" s="45" t="str">
        <f>F89</f>
        <v>Vinnare match 52</v>
      </c>
      <c r="BM101" s="45" t="str">
        <f>'Resultat &amp; tabell'!F89</f>
        <v>Vinnare match 52</v>
      </c>
      <c r="BN101" s="146" t="str">
        <f t="shared" si="180"/>
        <v>Vinnare match 52</v>
      </c>
      <c r="BO101" s="157" t="str">
        <f t="shared" si="181"/>
        <v>Vinnare match 52</v>
      </c>
      <c r="BP101" s="82">
        <f t="shared" si="182"/>
        <v>0</v>
      </c>
    </row>
    <row r="102" spans="2:68" ht="14.25" customHeight="1" x14ac:dyDescent="0.25">
      <c r="B102" s="137" t="s">
        <v>2</v>
      </c>
      <c r="C102" s="129" t="s">
        <v>3</v>
      </c>
      <c r="D102" s="187" t="s">
        <v>2</v>
      </c>
      <c r="E102" s="188"/>
      <c r="F102" s="189"/>
      <c r="G102" s="188" t="s">
        <v>4</v>
      </c>
      <c r="H102" s="188"/>
      <c r="I102" s="188"/>
      <c r="J102" s="28" t="s">
        <v>81</v>
      </c>
      <c r="K102" s="7" t="s">
        <v>89</v>
      </c>
      <c r="M102" s="43" t="s">
        <v>162</v>
      </c>
      <c r="N102" s="43"/>
      <c r="O102" s="40"/>
      <c r="P102" s="195" t="s">
        <v>148</v>
      </c>
      <c r="Q102" s="191"/>
      <c r="R102" s="191"/>
      <c r="S102" s="196"/>
      <c r="W102" s="23"/>
      <c r="X102" s="145"/>
      <c r="Z102" s="5"/>
      <c r="AA102" s="124" t="s">
        <v>2</v>
      </c>
      <c r="AB102" s="124"/>
      <c r="AC102" s="124"/>
      <c r="AD102" s="124"/>
      <c r="AE102" s="124"/>
      <c r="AF102" s="76"/>
      <c r="AH102" s="77"/>
      <c r="AZ102" s="139" t="s">
        <v>2</v>
      </c>
      <c r="BA102" s="131" t="s">
        <v>3</v>
      </c>
      <c r="BB102" s="143" t="s">
        <v>2</v>
      </c>
      <c r="BC102" s="69"/>
      <c r="BD102" s="144"/>
      <c r="BE102" s="69" t="s">
        <v>4</v>
      </c>
      <c r="BF102" s="69"/>
      <c r="BG102" s="69"/>
      <c r="BH102" s="69" t="s">
        <v>81</v>
      </c>
      <c r="BI102" s="28" t="s">
        <v>89</v>
      </c>
      <c r="BK102" s="82"/>
      <c r="BL102" s="45" t="str">
        <f>F90</f>
        <v>Vinnare match 56</v>
      </c>
      <c r="BM102" s="45" t="str">
        <f>'Resultat &amp; tabell'!F90</f>
        <v>Vinnare match 56</v>
      </c>
      <c r="BN102" s="146" t="str">
        <f t="shared" si="180"/>
        <v>Vinnare match 56</v>
      </c>
      <c r="BO102" s="157" t="str">
        <f t="shared" si="181"/>
        <v>Vinnare match 56</v>
      </c>
      <c r="BP102" s="82">
        <f t="shared" si="182"/>
        <v>0</v>
      </c>
    </row>
    <row r="103" spans="2:68" ht="14.25" customHeight="1" x14ac:dyDescent="0.25">
      <c r="B103" s="164">
        <v>64</v>
      </c>
      <c r="C103" s="165">
        <v>43296</v>
      </c>
      <c r="D103" s="152" t="str">
        <f>IF(M94="","Vinnare match 61",M94)</f>
        <v>Vinnare match 61</v>
      </c>
      <c r="E103" s="153" t="s">
        <v>6</v>
      </c>
      <c r="F103" s="154" t="str">
        <f>IF(M95="","Vinnare match 62",M95)</f>
        <v>Vinnare match 62</v>
      </c>
      <c r="G103" s="63"/>
      <c r="H103" s="94" t="s">
        <v>6</v>
      </c>
      <c r="I103" s="63"/>
      <c r="J103" s="65" t="str">
        <f>IF(OR(ISBLANK(G103),ISBLANK(I103)),"",IF(G103&gt;I103,1,IF(G103&lt;I103,2,"X")))</f>
        <v/>
      </c>
      <c r="K103" s="64">
        <f>IF('Resultat &amp; tabell'!J103="",0,BI103)</f>
        <v>0</v>
      </c>
      <c r="M103" s="66"/>
      <c r="N103" s="67" t="str">
        <f>IF(OR(ISBLANK(D103),ISBLANK(F103),J103="",M103=""),"",IF(OR(AND(J103=1,M103=D103),AND(J103=2,M103=F103),AND(J103="X",OR(M103=D103,M103=F103))),"","Ej OK"))</f>
        <v/>
      </c>
      <c r="O103" s="40"/>
      <c r="P103" s="207">
        <f>BP120</f>
        <v>0</v>
      </c>
      <c r="Q103" s="208"/>
      <c r="R103" s="208"/>
      <c r="S103" s="209"/>
      <c r="W103" s="23"/>
      <c r="X103" s="145"/>
      <c r="Z103" s="5"/>
      <c r="AA103" s="96" t="s">
        <v>57</v>
      </c>
      <c r="AD103" s="96"/>
      <c r="AE103" s="95" t="s">
        <v>58</v>
      </c>
      <c r="AF103" s="76"/>
      <c r="AH103" s="77"/>
      <c r="AZ103" s="166">
        <v>64</v>
      </c>
      <c r="BA103" s="167">
        <v>41833.666666666664</v>
      </c>
      <c r="BB103" s="99" t="str">
        <f>D103</f>
        <v>Vinnare match 61</v>
      </c>
      <c r="BC103" s="155" t="s">
        <v>6</v>
      </c>
      <c r="BD103" s="99" t="str">
        <f>F103</f>
        <v>Vinnare match 62</v>
      </c>
      <c r="BE103" s="102">
        <f>IF(G103='Resultat &amp; tabell'!$G103,2,0)</f>
        <v>2</v>
      </c>
      <c r="BF103" s="65" t="s">
        <v>6</v>
      </c>
      <c r="BG103" s="102">
        <f>IF(I103='Resultat &amp; tabell'!$I103,2,0)</f>
        <v>2</v>
      </c>
      <c r="BH103" s="102">
        <f>IF(J103='Resultat &amp; tabell'!$J103,3,0)</f>
        <v>3</v>
      </c>
      <c r="BI103" s="103">
        <f>SUM(BE103+BG103+BH103)</f>
        <v>7</v>
      </c>
      <c r="BK103" s="82"/>
      <c r="BM103" s="45"/>
      <c r="BN103" s="168"/>
      <c r="BO103" s="6" t="s">
        <v>107</v>
      </c>
      <c r="BP103" s="127">
        <f>SUM(BP95:BP102)</f>
        <v>0</v>
      </c>
    </row>
    <row r="104" spans="2:68" ht="14.25" customHeight="1" x14ac:dyDescent="0.25">
      <c r="K104" s="24"/>
      <c r="BL104" s="147" t="s">
        <v>41</v>
      </c>
      <c r="BM104" s="148"/>
      <c r="BN104" s="149"/>
      <c r="BO104" s="150"/>
      <c r="BP104" s="150"/>
    </row>
    <row r="105" spans="2:68" ht="14.25" customHeight="1" x14ac:dyDescent="0.25">
      <c r="BL105" s="1" t="s">
        <v>104</v>
      </c>
      <c r="BM105" s="78" t="s">
        <v>103</v>
      </c>
      <c r="BN105" s="78" t="s">
        <v>105</v>
      </c>
      <c r="BO105" s="78" t="s">
        <v>106</v>
      </c>
      <c r="BP105" s="78" t="s">
        <v>89</v>
      </c>
    </row>
    <row r="106" spans="2:68" ht="14.25" customHeight="1" x14ac:dyDescent="0.25">
      <c r="BL106" s="83" t="str">
        <f>D94</f>
        <v>Vinnare match 57</v>
      </c>
      <c r="BM106" s="45" t="str">
        <f>'Resultat &amp; tabell'!D94</f>
        <v>Vinnare match 57</v>
      </c>
      <c r="BN106" s="146" t="str">
        <f>VLOOKUP(BL106,$BM$106:$BM$109,1,FALSE)</f>
        <v>Vinnare match 57</v>
      </c>
      <c r="BO106" s="157" t="str">
        <f t="shared" ref="BO106:BO109" si="183">BN106</f>
        <v>Vinnare match 57</v>
      </c>
      <c r="BP106" s="82">
        <f>IFERROR(IF(AND(COUNTIF($J$87:$J$90,"")=0,BN106=BO106),6,0),0)</f>
        <v>0</v>
      </c>
    </row>
    <row r="107" spans="2:68" ht="14.25" customHeight="1" x14ac:dyDescent="0.25">
      <c r="BL107" s="83" t="str">
        <f>D95</f>
        <v>Vinnare match 59</v>
      </c>
      <c r="BM107" s="45" t="str">
        <f>'Resultat &amp; tabell'!D95</f>
        <v>Vinnare match 59</v>
      </c>
      <c r="BN107" s="146" t="str">
        <f>VLOOKUP(BL107,$BM$106:$BM$109,1,FALSE)</f>
        <v>Vinnare match 59</v>
      </c>
      <c r="BO107" s="157" t="str">
        <f t="shared" si="183"/>
        <v>Vinnare match 59</v>
      </c>
      <c r="BP107" s="82">
        <f t="shared" ref="BP107:BP109" si="184">IFERROR(IF(AND(COUNTIF($J$87:$J$90,"")=0,BN107=BO107),6,0),0)</f>
        <v>0</v>
      </c>
    </row>
    <row r="108" spans="2:68" ht="14.25" customHeight="1" x14ac:dyDescent="0.25">
      <c r="BL108" s="83" t="str">
        <f>F94</f>
        <v>Vinnare match 58</v>
      </c>
      <c r="BM108" s="45" t="str">
        <f>'Resultat &amp; tabell'!F94</f>
        <v>Vinnare match 58</v>
      </c>
      <c r="BN108" s="146" t="str">
        <f>VLOOKUP(BL108,$BM$106:$BM$109,1,FALSE)</f>
        <v>Vinnare match 58</v>
      </c>
      <c r="BO108" s="157" t="str">
        <f t="shared" si="183"/>
        <v>Vinnare match 58</v>
      </c>
      <c r="BP108" s="82">
        <f t="shared" si="184"/>
        <v>0</v>
      </c>
    </row>
    <row r="109" spans="2:68" ht="14.25" customHeight="1" x14ac:dyDescent="0.25">
      <c r="BL109" s="83" t="str">
        <f>F95</f>
        <v>Vinnare match 60</v>
      </c>
      <c r="BM109" s="45" t="str">
        <f>'Resultat &amp; tabell'!F95</f>
        <v>Vinnare match 60</v>
      </c>
      <c r="BN109" s="146" t="str">
        <f>VLOOKUP(BL109,$BM$106:$BM$109,1,FALSE)</f>
        <v>Vinnare match 60</v>
      </c>
      <c r="BO109" s="157" t="str">
        <f t="shared" si="183"/>
        <v>Vinnare match 60</v>
      </c>
      <c r="BP109" s="82">
        <f t="shared" si="184"/>
        <v>0</v>
      </c>
    </row>
    <row r="110" spans="2:68" ht="14.25" customHeight="1" x14ac:dyDescent="0.25">
      <c r="BL110" s="83"/>
      <c r="BM110" s="45"/>
      <c r="BN110" s="146"/>
      <c r="BO110" s="6" t="s">
        <v>107</v>
      </c>
      <c r="BP110" s="127">
        <f>SUM(BP106:BP109)</f>
        <v>0</v>
      </c>
    </row>
    <row r="111" spans="2:68" ht="14.25" customHeight="1" x14ac:dyDescent="0.25">
      <c r="BL111" s="147" t="s">
        <v>50</v>
      </c>
      <c r="BM111" s="148"/>
      <c r="BN111" s="149"/>
      <c r="BO111" s="150"/>
      <c r="BP111" s="150"/>
    </row>
    <row r="112" spans="2:68" ht="14.25" customHeight="1" x14ac:dyDescent="0.25">
      <c r="BL112" s="1" t="s">
        <v>104</v>
      </c>
      <c r="BM112" s="78" t="s">
        <v>103</v>
      </c>
      <c r="BN112" s="78" t="s">
        <v>105</v>
      </c>
      <c r="BO112" s="78" t="s">
        <v>106</v>
      </c>
      <c r="BP112" s="78" t="s">
        <v>89</v>
      </c>
    </row>
    <row r="113" spans="64:68" ht="14.25" customHeight="1" x14ac:dyDescent="0.25">
      <c r="BL113" s="83" t="str">
        <f>D99</f>
        <v>Förlorare match 61</v>
      </c>
      <c r="BM113" s="45" t="str">
        <f>'Resultat &amp; tabell'!D99</f>
        <v>Förlorare match 61</v>
      </c>
      <c r="BN113" s="146" t="str">
        <f>VLOOKUP(BL113,$BM$113:$BM$114,1,FALSE)</f>
        <v>Förlorare match 61</v>
      </c>
      <c r="BO113" s="157" t="str">
        <f t="shared" ref="BO113:BO114" si="185">BN113</f>
        <v>Förlorare match 61</v>
      </c>
      <c r="BP113" s="82">
        <f>IFERROR(IF(AND(COUNTIF($J$94:$J$95,"")=0,BN113=BO113),8,0),0)</f>
        <v>0</v>
      </c>
    </row>
    <row r="114" spans="64:68" ht="14.25" customHeight="1" x14ac:dyDescent="0.25">
      <c r="BL114" s="83" t="str">
        <f>F99</f>
        <v>Förlorare match 62</v>
      </c>
      <c r="BM114" s="45" t="str">
        <f>'Resultat &amp; tabell'!F99</f>
        <v>Förlorare match 62</v>
      </c>
      <c r="BN114" s="146" t="str">
        <f>VLOOKUP(BL114,$BM$113:$BM$114,1,FALSE)</f>
        <v>Förlorare match 62</v>
      </c>
      <c r="BO114" s="157" t="str">
        <f t="shared" si="185"/>
        <v>Förlorare match 62</v>
      </c>
      <c r="BP114" s="82">
        <f>IFERROR(IF(AND(COUNTIF($J$94:$J$95,"")=0,BN114=BO114),8,0),0)</f>
        <v>0</v>
      </c>
    </row>
    <row r="115" spans="64:68" ht="14.25" customHeight="1" x14ac:dyDescent="0.25">
      <c r="BL115" s="83"/>
      <c r="BM115" s="45"/>
      <c r="BN115" s="146"/>
      <c r="BO115" s="6" t="s">
        <v>107</v>
      </c>
      <c r="BP115" s="127">
        <f>SUM(BP113:BP114)</f>
        <v>0</v>
      </c>
    </row>
    <row r="116" spans="64:68" ht="14.25" customHeight="1" x14ac:dyDescent="0.25">
      <c r="BL116" s="147" t="s">
        <v>54</v>
      </c>
      <c r="BM116" s="148"/>
      <c r="BN116" s="149"/>
      <c r="BO116" s="150"/>
      <c r="BP116" s="150"/>
    </row>
    <row r="117" spans="64:68" ht="14.25" customHeight="1" x14ac:dyDescent="0.25">
      <c r="BL117" s="1" t="s">
        <v>104</v>
      </c>
      <c r="BM117" s="78" t="s">
        <v>103</v>
      </c>
      <c r="BN117" s="78" t="s">
        <v>105</v>
      </c>
      <c r="BO117" s="78" t="s">
        <v>106</v>
      </c>
      <c r="BP117" s="78" t="s">
        <v>89</v>
      </c>
    </row>
    <row r="118" spans="64:68" ht="14.25" customHeight="1" x14ac:dyDescent="0.25">
      <c r="BL118" s="83" t="str">
        <f>D103</f>
        <v>Vinnare match 61</v>
      </c>
      <c r="BM118" s="45" t="str">
        <f>'Resultat &amp; tabell'!D103</f>
        <v>Vinnare match 61</v>
      </c>
      <c r="BN118" s="146" t="str">
        <f>VLOOKUP(BL118,$BM$118:$BM$119,1,FALSE)</f>
        <v>Vinnare match 61</v>
      </c>
      <c r="BO118" s="157" t="str">
        <f t="shared" ref="BO118:BO119" si="186">BN118</f>
        <v>Vinnare match 61</v>
      </c>
      <c r="BP118" s="82">
        <f>IFERROR(IF(AND(COUNTIF($J$94:$J$95,"")=0,BN118=BO118),8,0),0)</f>
        <v>0</v>
      </c>
    </row>
    <row r="119" spans="64:68" ht="14.25" customHeight="1" x14ac:dyDescent="0.25">
      <c r="BL119" s="83" t="str">
        <f>F103</f>
        <v>Vinnare match 62</v>
      </c>
      <c r="BM119" s="45" t="str">
        <f>'Resultat &amp; tabell'!F103</f>
        <v>Vinnare match 62</v>
      </c>
      <c r="BN119" s="146" t="str">
        <f>VLOOKUP(BL119,$BM$118:$BM$119,1,FALSE)</f>
        <v>Vinnare match 62</v>
      </c>
      <c r="BO119" s="157" t="str">
        <f t="shared" si="186"/>
        <v>Vinnare match 62</v>
      </c>
      <c r="BP119" s="82">
        <f>IFERROR(IF(AND(COUNTIF($J$94:$J$95,"")=0,BN119=BO119),8,0),0)</f>
        <v>0</v>
      </c>
    </row>
    <row r="120" spans="64:68" ht="14.25" customHeight="1" x14ac:dyDescent="0.25">
      <c r="BL120" s="83"/>
      <c r="BM120" s="45"/>
      <c r="BN120" s="146"/>
      <c r="BO120" s="6" t="s">
        <v>107</v>
      </c>
      <c r="BP120" s="127">
        <f>SUM(BP118:BP119)</f>
        <v>0</v>
      </c>
    </row>
  </sheetData>
  <sheetProtection algorithmName="SHA-512" hashValue="fDYKPNGUYAkQCcOeWmgprp6doXvWo77Wh4HCbm40hBKzfYlQInyKu2m8bKjoKpKZBn/2nwn18+71CVQt36QBJQ==" saltValue="sRvalH2+/MuxhStx+LJg+g==" spinCount="100000" sheet="1" objects="1" scenarios="1"/>
  <dataConsolidate/>
  <mergeCells count="52">
    <mergeCell ref="D21:F21"/>
    <mergeCell ref="G21:I21"/>
    <mergeCell ref="BB21:BD21"/>
    <mergeCell ref="BE21:BG21"/>
    <mergeCell ref="D3:F3"/>
    <mergeCell ref="G3:I3"/>
    <mergeCell ref="T3:W3"/>
    <mergeCell ref="BB3:BD3"/>
    <mergeCell ref="BE3:BG3"/>
    <mergeCell ref="T4:W4"/>
    <mergeCell ref="T5:W5"/>
    <mergeCell ref="D12:F12"/>
    <mergeCell ref="G12:I12"/>
    <mergeCell ref="BB12:BD12"/>
    <mergeCell ref="BE12:BG12"/>
    <mergeCell ref="T6:W6"/>
    <mergeCell ref="D30:F30"/>
    <mergeCell ref="G30:I30"/>
    <mergeCell ref="BB30:BD30"/>
    <mergeCell ref="BE30:BG30"/>
    <mergeCell ref="D39:F39"/>
    <mergeCell ref="G39:I39"/>
    <mergeCell ref="BE39:BG39"/>
    <mergeCell ref="D48:F48"/>
    <mergeCell ref="G48:I48"/>
    <mergeCell ref="BE48:BG48"/>
    <mergeCell ref="D57:F57"/>
    <mergeCell ref="G57:I57"/>
    <mergeCell ref="BE57:BG57"/>
    <mergeCell ref="D66:F66"/>
    <mergeCell ref="G66:I66"/>
    <mergeCell ref="BE66:BG66"/>
    <mergeCell ref="D75:F75"/>
    <mergeCell ref="G75:I75"/>
    <mergeCell ref="P75:S75"/>
    <mergeCell ref="P94:S94"/>
    <mergeCell ref="D98:F98"/>
    <mergeCell ref="G98:I98"/>
    <mergeCell ref="P98:S98"/>
    <mergeCell ref="P76:S76"/>
    <mergeCell ref="D86:F86"/>
    <mergeCell ref="G86:I86"/>
    <mergeCell ref="P86:S86"/>
    <mergeCell ref="P87:S87"/>
    <mergeCell ref="D93:F93"/>
    <mergeCell ref="G93:I93"/>
    <mergeCell ref="P93:S93"/>
    <mergeCell ref="P103:S103"/>
    <mergeCell ref="P99:S99"/>
    <mergeCell ref="D102:F102"/>
    <mergeCell ref="G102:I102"/>
    <mergeCell ref="P102:S102"/>
  </mergeCells>
  <conditionalFormatting sqref="N76:N83 N87:N90 N94:N95">
    <cfRule type="containsText" dxfId="2" priority="3" operator="containsText" text="Ej OK">
      <formula>NOT(ISERROR(SEARCH("Ej OK",N76)))</formula>
    </cfRule>
  </conditionalFormatting>
  <conditionalFormatting sqref="N99">
    <cfRule type="containsText" dxfId="1" priority="2" operator="containsText" text="Ej OK">
      <formula>NOT(ISERROR(SEARCH("Ej OK",N99)))</formula>
    </cfRule>
  </conditionalFormatting>
  <conditionalFormatting sqref="N103">
    <cfRule type="containsText" dxfId="0" priority="1" operator="containsText" text="Ej OK">
      <formula>NOT(ISERROR(SEARCH("Ej OK",N103)))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Poäng &amp; instruktioner</vt:lpstr>
      <vt:lpstr>Resultat &amp; tabell</vt:lpstr>
      <vt:lpstr>Mitt tips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toot&amp;mjute</cp:lastModifiedBy>
  <dcterms:created xsi:type="dcterms:W3CDTF">2014-01-14T21:52:10Z</dcterms:created>
  <dcterms:modified xsi:type="dcterms:W3CDTF">2018-05-30T20:36:01Z</dcterms:modified>
</cp:coreProperties>
</file>